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ат.на оплату труд." sheetId="1" r:id="rId1"/>
    <sheet name="зат.матер." sheetId="2" r:id="rId2"/>
    <sheet name="расч.нак.расх" sheetId="3" r:id="rId3"/>
    <sheet name="% оказ.услуг" sheetId="4" r:id="rId4"/>
    <sheet name="плата" sheetId="5" r:id="rId5"/>
    <sheet name="норма раб.время" sheetId="6" r:id="rId6"/>
    <sheet name="норма расх.мат" sheetId="7" r:id="rId7"/>
    <sheet name="свод по субсидиям" sheetId="8" r:id="rId8"/>
  </sheets>
  <definedNames/>
  <calcPr fullCalcOnLoad="1"/>
</workbook>
</file>

<file path=xl/sharedStrings.xml><?xml version="1.0" encoding="utf-8"?>
<sst xmlns="http://schemas.openxmlformats.org/spreadsheetml/2006/main" count="788" uniqueCount="173">
  <si>
    <t>Таблица 1</t>
  </si>
  <si>
    <t>РАСЧЕТ ЗАТРАТ НА ОПЛАТУ ТРУДА ПЕРСОНАЛА, НЕПОСРЕДСТВЕННО УЧАСТВУЮЩЕГО В ПРОЦЕССЕ ОКАЗАНИЯ УСЛУГИ (ВЫПОЛНЕНИЯ РАБОТЫ)</t>
  </si>
  <si>
    <t>(наименование услуги (работы)</t>
  </si>
  <si>
    <t xml:space="preserve">Должность </t>
  </si>
  <si>
    <t>Средний должностной оклад в месяц, включая начисления на выплаты по оплате труда (руб.)</t>
  </si>
  <si>
    <t xml:space="preserve">Месячный фонд рабочего времени (мин.)   </t>
  </si>
  <si>
    <t>Норма времени на оказание услуги (мин.)</t>
  </si>
  <si>
    <t xml:space="preserve">Затраты на оплату труда персонала (руб.) </t>
  </si>
  <si>
    <t xml:space="preserve">  </t>
  </si>
  <si>
    <t>(5)=(2)/(3)*(4)</t>
  </si>
  <si>
    <t>…</t>
  </si>
  <si>
    <t>Итого</t>
  </si>
  <si>
    <t>х</t>
  </si>
  <si>
    <t>социально-психологическая</t>
  </si>
  <si>
    <t>социально-педагогическая</t>
  </si>
  <si>
    <t>средне месячный фонд времяни в 2012г =год фонд 1786.8/12мес=148.9 час*60мин =8934мин</t>
  </si>
  <si>
    <t>психодог использует 70% времени на оказание соц.псих услугу</t>
  </si>
  <si>
    <t>социально-экономическая</t>
  </si>
  <si>
    <t>социально-медицинская</t>
  </si>
  <si>
    <t>социально-провавая</t>
  </si>
  <si>
    <t>социально-бытовая</t>
  </si>
  <si>
    <t>3.спец. по соц.работе</t>
  </si>
  <si>
    <t>1.психолог</t>
  </si>
  <si>
    <t>2.социальные педагоги</t>
  </si>
  <si>
    <t>Таблица 2</t>
  </si>
  <si>
    <t>_________________________________________________</t>
  </si>
  <si>
    <t>Наименование  материальных запасов</t>
  </si>
  <si>
    <t>Единица измерения</t>
  </si>
  <si>
    <t>Расход в ед. измерения</t>
  </si>
  <si>
    <t>Цена за единицу</t>
  </si>
  <si>
    <t>Всего затрат материальных запасов</t>
  </si>
  <si>
    <t>(5)= (3)*(4)</t>
  </si>
  <si>
    <t xml:space="preserve">РАСЧЕТ ЗАТРАТ НА МАТЕРИАЛЬНЫЕ ЗАПАСЫ, НЕПОСРЕДСТВЕННО ПОТРЕБЛЯЕМЫЕ </t>
  </si>
  <si>
    <t>В ПРОЦЕССЕ ОКАЗАНИЯ УСЛУГИ (ВЫПОЛНЕНИЯ РАБОТЫ)</t>
  </si>
  <si>
    <t>1бумага ксероксная</t>
  </si>
  <si>
    <t>Единица изме-рения</t>
  </si>
  <si>
    <t>шт</t>
  </si>
  <si>
    <t>2бумага писчая</t>
  </si>
  <si>
    <t>уп</t>
  </si>
  <si>
    <t>3.Ручка шариковая</t>
  </si>
  <si>
    <t>карандаш</t>
  </si>
  <si>
    <t>скрепки</t>
  </si>
  <si>
    <t>скоросшиватели</t>
  </si>
  <si>
    <t>папка для бумаг</t>
  </si>
  <si>
    <t>скобы для сцеплера</t>
  </si>
  <si>
    <t>файлы</t>
  </si>
  <si>
    <t>клей</t>
  </si>
  <si>
    <t>ежедневник</t>
  </si>
  <si>
    <t>тетрадь общая</t>
  </si>
  <si>
    <t>конверты</t>
  </si>
  <si>
    <t xml:space="preserve">план оказания услуг </t>
  </si>
  <si>
    <t>стоимость одной услуги</t>
  </si>
  <si>
    <t>усл</t>
  </si>
  <si>
    <t>итого</t>
  </si>
  <si>
    <t>план всего оказано услуг</t>
  </si>
  <si>
    <t>стоимость 1 услуги</t>
  </si>
  <si>
    <t>оказано услуг</t>
  </si>
  <si>
    <t>цена 1 услуги</t>
  </si>
  <si>
    <t>план оказания услуг</t>
  </si>
  <si>
    <t>социально-медицинская.</t>
  </si>
  <si>
    <t>социально-правовая</t>
  </si>
  <si>
    <t xml:space="preserve">стоимость 1 услуги </t>
  </si>
  <si>
    <t>стоимост 1 услуги</t>
  </si>
  <si>
    <t>РАСЧЕТ НАКЛАДНЫХ ЗАТРАТ</t>
  </si>
  <si>
    <t>Прогноз затрат на административно-управленческий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</si>
  <si>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</si>
  <si>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</si>
  <si>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Прогноз суммарного фонда оплаты труда основного персонала</t>
  </si>
  <si>
    <t>Коэффициент накладных затрат</t>
  </si>
  <si>
    <t>Затраты на основной персонал, участвующий в предоставлении услуги</t>
  </si>
  <si>
    <t>Итого накладные затраты</t>
  </si>
  <si>
    <t>наименования основ. Специалистов</t>
  </si>
  <si>
    <t>годовой фонд оплаты труда</t>
  </si>
  <si>
    <t>средне месячный ФОТ (с начислением)</t>
  </si>
  <si>
    <t>наименование услуги</t>
  </si>
  <si>
    <t>к-во услуг за год</t>
  </si>
  <si>
    <t xml:space="preserve">специалисты оказывающие услуги </t>
  </si>
  <si>
    <t>% затрат в услуге</t>
  </si>
  <si>
    <t>к-во услуг</t>
  </si>
  <si>
    <t>70/1106</t>
  </si>
  <si>
    <t>30/474</t>
  </si>
  <si>
    <t>бензин</t>
  </si>
  <si>
    <t>лит.</t>
  </si>
  <si>
    <t>масло (автол)</t>
  </si>
  <si>
    <t>масло</t>
  </si>
  <si>
    <t xml:space="preserve">бензин </t>
  </si>
  <si>
    <t>лит</t>
  </si>
  <si>
    <t>3ед..социальные педагоги</t>
  </si>
  <si>
    <t>2 ед.спец. по соц.работе</t>
  </si>
  <si>
    <t>наименование затрат</t>
  </si>
  <si>
    <t>сумма</t>
  </si>
  <si>
    <t>№п/п</t>
  </si>
  <si>
    <t>ФОТ с начислением за год (обсл.персонал)</t>
  </si>
  <si>
    <t>ФОТ с начислением за год(Начальник. Бухгалтер)</t>
  </si>
  <si>
    <t>командировочные</t>
  </si>
  <si>
    <t>аттестация рабочих мест</t>
  </si>
  <si>
    <t>оплата на повыш. Квалификации</t>
  </si>
  <si>
    <t>канцелярские расходы</t>
  </si>
  <si>
    <t xml:space="preserve">бензин +автол </t>
  </si>
  <si>
    <t>прочие налоги</t>
  </si>
  <si>
    <t>услуги связи</t>
  </si>
  <si>
    <t>коммунальные услуги</t>
  </si>
  <si>
    <t>расходы по содержанию имущества</t>
  </si>
  <si>
    <t>мед.осмотр работников</t>
  </si>
  <si>
    <t>компьютерные программы</t>
  </si>
  <si>
    <t>обнавление программ</t>
  </si>
  <si>
    <t>страховка машин</t>
  </si>
  <si>
    <t>подписные издания</t>
  </si>
  <si>
    <t>гигиенические хоз.товары</t>
  </si>
  <si>
    <t xml:space="preserve">материальные затраты на ремонт имущества  </t>
  </si>
  <si>
    <t>фот на вып.услуг</t>
  </si>
  <si>
    <t>мес.фонд времени</t>
  </si>
  <si>
    <t>по норме</t>
  </si>
  <si>
    <t>отклон.фот</t>
  </si>
  <si>
    <t>ФОТ за год.</t>
  </si>
  <si>
    <t xml:space="preserve"> отклонение</t>
  </si>
  <si>
    <t xml:space="preserve">норма врем.оказания услуг замесяц </t>
  </si>
  <si>
    <t>отклонение в з/пл.за год</t>
  </si>
  <si>
    <t>откл0нение</t>
  </si>
  <si>
    <t>итого затраты на 1 услугу</t>
  </si>
  <si>
    <t>итого стоимость услуги</t>
  </si>
  <si>
    <t>РАСЧЕТ ПЛАТЫ (ЦЕНЫ, ТАРИФА)</t>
  </si>
  <si>
    <t>УСЛУГИ (РАБОТЫ)</t>
  </si>
  <si>
    <t>НАИМЕНОВАНИЯ СТАТЕЙ ЗАТРАТ</t>
  </si>
  <si>
    <t>СУММА, РУБ.</t>
  </si>
  <si>
    <t xml:space="preserve">Затраты на оплату труда персонала, непосредственно на  оказание услуги </t>
  </si>
  <si>
    <t>Затраты материальных запасов</t>
  </si>
  <si>
    <t>Сумма начисленной амортизации оборудования, используемого при оказании услуги</t>
  </si>
  <si>
    <t>Накладные затраты, относимые на услугу</t>
  </si>
  <si>
    <t>ИТОГО ЗАТРАТЫ НА УСЛУГУ</t>
  </si>
  <si>
    <t>ЦЕНА (ТАРИФ)НА УСЛУГУ</t>
  </si>
  <si>
    <t>НОРМЫ</t>
  </si>
  <si>
    <t>рабочего времени на оказание услуги (выполнение работы)</t>
  </si>
  <si>
    <t>Специалисты, оказывающие услугу</t>
  </si>
  <si>
    <t>Единица измерения (час, мин)</t>
  </si>
  <si>
    <t>Норма времени на оказание услуги</t>
  </si>
  <si>
    <t>мин</t>
  </si>
  <si>
    <t xml:space="preserve">НОРМЫ </t>
  </si>
  <si>
    <t>расхода материальных запасов при оказании услуги (выполнении работы)</t>
  </si>
  <si>
    <t>(наименование услуги (работы))</t>
  </si>
  <si>
    <t>Наименование используемых материальных запасов</t>
  </si>
  <si>
    <t>Норма расхода материалов</t>
  </si>
  <si>
    <t>руб</t>
  </si>
  <si>
    <t>ГСМ</t>
  </si>
  <si>
    <t>1педагог-психолог</t>
  </si>
  <si>
    <t>1. педагог-психолог</t>
  </si>
  <si>
    <t>1.педагог-психолог</t>
  </si>
  <si>
    <t>затраты на оплату труда</t>
  </si>
  <si>
    <t>затраты материаль-ных запасов</t>
  </si>
  <si>
    <t>накладные затра-ты</t>
  </si>
  <si>
    <t>итого затрат на услуги</t>
  </si>
  <si>
    <t>итого затрат на одну услугу</t>
  </si>
  <si>
    <t>субсидии на 2012 год</t>
  </si>
  <si>
    <t>себестоимость услуг</t>
  </si>
  <si>
    <t xml:space="preserve">Расчет затрат на оказание услуг </t>
  </si>
  <si>
    <t>на 2012год</t>
  </si>
  <si>
    <t>МБУ "Центр  социальной помощи семье и детям муниципального района Кошкинский Самарской области"</t>
  </si>
  <si>
    <t>Директор МБУ"Центр Семья"</t>
  </si>
  <si>
    <t>Матяшова Г.Н.</t>
  </si>
  <si>
    <t>исп.Чекушкина Н.Н.</t>
  </si>
  <si>
    <t>тел.2-25-67</t>
  </si>
  <si>
    <t>МБУ "Центр Семья"</t>
  </si>
  <si>
    <t>Расчет накладных затрат на  2012год</t>
  </si>
  <si>
    <t>директор МБУ"Центр Семья"                                          Матяшова Г.Н.</t>
  </si>
  <si>
    <t>2-25-67 тел.</t>
  </si>
  <si>
    <t>Директор МБУ "Центр Семья"                                   Матяшова Г.Н.</t>
  </si>
  <si>
    <t>РАСЧЕТ ПЛАТЫ УСЛУГИ НА 2012 год.</t>
  </si>
  <si>
    <t>Норма рабочего времяни на оказание услуг</t>
  </si>
  <si>
    <t>Директор МБУ "Центр Семья"                                                         Матяшова Г.Н.</t>
  </si>
  <si>
    <t>исп.Чекушкина Н.Н. тел.2-25-67</t>
  </si>
  <si>
    <t xml:space="preserve">нормы расхода материальных запасов при оказании услуг  </t>
  </si>
  <si>
    <t xml:space="preserve">                                                                 на 2012год</t>
  </si>
  <si>
    <t>директор МБУ "Центр Семья"                                                  Матяшова Г.Н.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</si>
</sst>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>
        <color rgb="FF000000"/>
      </left>
      <right/>
      <top/>
      <bottom/>
    </border>
    <border>
      <left/>
      <right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39" fillId="0" borderId="0" xfId="0" applyFont="1" applyAlignment="1">
      <alignment/>
    </xf>
    <xf numFmtId="2" fontId="40" fillId="0" borderId="12" xfId="0" applyNumberFormat="1" applyFont="1" applyBorder="1" applyAlignment="1">
      <alignment horizontal="justify" vertical="top" wrapText="1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40" fillId="0" borderId="14" xfId="0" applyFont="1" applyBorder="1" applyAlignment="1">
      <alignment horizontal="justify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justify" vertical="top" wrapText="1"/>
    </xf>
    <xf numFmtId="0" fontId="40" fillId="0" borderId="15" xfId="0" applyFont="1" applyFill="1" applyBorder="1" applyAlignment="1">
      <alignment horizontal="justify" vertical="top"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" fontId="0" fillId="0" borderId="0" xfId="0" applyNumberFormat="1" applyAlignment="1">
      <alignment/>
    </xf>
    <xf numFmtId="0" fontId="40" fillId="0" borderId="16" xfId="0" applyFont="1" applyBorder="1" applyAlignment="1">
      <alignment horizontal="center" vertical="top" wrapText="1"/>
    </xf>
    <xf numFmtId="1" fontId="40" fillId="0" borderId="12" xfId="0" applyNumberFormat="1" applyFont="1" applyBorder="1" applyAlignment="1">
      <alignment horizontal="center" vertical="top" wrapText="1"/>
    </xf>
    <xf numFmtId="1" fontId="40" fillId="0" borderId="12" xfId="0" applyNumberFormat="1" applyFont="1" applyBorder="1" applyAlignment="1">
      <alignment horizontal="justify" vertical="top" wrapText="1"/>
    </xf>
    <xf numFmtId="2" fontId="40" fillId="0" borderId="11" xfId="0" applyNumberFormat="1" applyFont="1" applyBorder="1" applyAlignment="1">
      <alignment horizontal="justify" vertical="top" wrapText="1"/>
    </xf>
    <xf numFmtId="0" fontId="40" fillId="0" borderId="16" xfId="0" applyFont="1" applyBorder="1" applyAlignment="1">
      <alignment horizontal="justify" vertical="top" wrapText="1"/>
    </xf>
    <xf numFmtId="2" fontId="40" fillId="0" borderId="15" xfId="0" applyNumberFormat="1" applyFont="1" applyBorder="1" applyAlignment="1">
      <alignment horizontal="center" vertical="top" wrapText="1"/>
    </xf>
    <xf numFmtId="0" fontId="40" fillId="0" borderId="15" xfId="0" applyFont="1" applyBorder="1" applyAlignment="1">
      <alignment horizontal="justify" vertical="top" wrapText="1"/>
    </xf>
    <xf numFmtId="0" fontId="40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0" fillId="0" borderId="18" xfId="0" applyFont="1" applyBorder="1" applyAlignment="1">
      <alignment horizontal="center" vertical="top" wrapText="1"/>
    </xf>
    <xf numFmtId="2" fontId="40" fillId="0" borderId="18" xfId="0" applyNumberFormat="1" applyFont="1" applyBorder="1" applyAlignment="1">
      <alignment horizontal="center" vertical="top" wrapText="1"/>
    </xf>
    <xf numFmtId="0" fontId="40" fillId="0" borderId="19" xfId="0" applyFont="1" applyBorder="1" applyAlignment="1">
      <alignment horizontal="justify" vertical="top" wrapText="1"/>
    </xf>
    <xf numFmtId="0" fontId="38" fillId="0" borderId="13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5" xfId="0" applyBorder="1" applyAlignment="1">
      <alignment vertical="top" wrapText="1"/>
    </xf>
    <xf numFmtId="0" fontId="39" fillId="0" borderId="0" xfId="0" applyFont="1" applyAlignment="1">
      <alignment horizontal="left"/>
    </xf>
    <xf numFmtId="9" fontId="0" fillId="0" borderId="15" xfId="0" applyNumberFormat="1" applyBorder="1" applyAlignment="1">
      <alignment/>
    </xf>
    <xf numFmtId="0" fontId="40" fillId="0" borderId="0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4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40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/>
    </xf>
    <xf numFmtId="0" fontId="29" fillId="33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40" fillId="0" borderId="20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2" fontId="40" fillId="0" borderId="16" xfId="0" applyNumberFormat="1" applyFont="1" applyBorder="1" applyAlignment="1">
      <alignment horizontal="justify" vertical="top" wrapText="1"/>
    </xf>
    <xf numFmtId="2" fontId="40" fillId="0" borderId="16" xfId="0" applyNumberFormat="1" applyFont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38" fillId="0" borderId="14" xfId="0" applyFont="1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38" fillId="0" borderId="21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41" fillId="0" borderId="22" xfId="0" applyFont="1" applyBorder="1" applyAlignment="1">
      <alignment horizontal="center" vertical="top" wrapText="1"/>
    </xf>
    <xf numFmtId="0" fontId="38" fillId="0" borderId="12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2" fontId="39" fillId="0" borderId="12" xfId="0" applyNumberFormat="1" applyFont="1" applyBorder="1" applyAlignment="1">
      <alignment vertical="top" wrapText="1"/>
    </xf>
    <xf numFmtId="0" fontId="38" fillId="0" borderId="0" xfId="0" applyFont="1" applyAlignment="1">
      <alignment/>
    </xf>
    <xf numFmtId="0" fontId="40" fillId="0" borderId="21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38" fillId="0" borderId="0" xfId="0" applyFont="1" applyAlignment="1">
      <alignment/>
    </xf>
    <xf numFmtId="2" fontId="40" fillId="0" borderId="12" xfId="0" applyNumberFormat="1" applyFont="1" applyBorder="1" applyAlignment="1">
      <alignment vertical="top" wrapText="1"/>
    </xf>
    <xf numFmtId="2" fontId="41" fillId="0" borderId="12" xfId="0" applyNumberFormat="1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42" fillId="0" borderId="0" xfId="0" applyFont="1" applyAlignment="1">
      <alignment/>
    </xf>
    <xf numFmtId="0" fontId="39" fillId="0" borderId="15" xfId="0" applyFont="1" applyBorder="1" applyAlignment="1">
      <alignment horizontal="left"/>
    </xf>
    <xf numFmtId="0" fontId="2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9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40" fillId="0" borderId="2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0" fillId="0" borderId="19" xfId="0" applyBorder="1" applyAlignment="1">
      <alignment horizontal="center" textRotation="180"/>
    </xf>
    <xf numFmtId="0" fontId="0" fillId="0" borderId="24" xfId="0" applyBorder="1" applyAlignment="1">
      <alignment horizontal="center" textRotation="180"/>
    </xf>
    <xf numFmtId="0" fontId="0" fillId="0" borderId="25" xfId="0" applyBorder="1" applyAlignment="1">
      <alignment horizontal="center" textRotation="180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2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23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2" fontId="38" fillId="0" borderId="14" xfId="0" applyNumberFormat="1" applyFont="1" applyBorder="1" applyAlignment="1">
      <alignment vertical="top" wrapText="1"/>
    </xf>
    <xf numFmtId="0" fontId="40" fillId="0" borderId="30" xfId="0" applyFont="1" applyBorder="1" applyAlignment="1">
      <alignment vertical="top" wrapText="1"/>
    </xf>
    <xf numFmtId="0" fontId="40" fillId="0" borderId="31" xfId="0" applyFont="1" applyBorder="1" applyAlignment="1">
      <alignment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29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2" fontId="39" fillId="0" borderId="23" xfId="0" applyNumberFormat="1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43" fillId="0" borderId="0" xfId="0" applyFont="1" applyAlignment="1">
      <alignment horizontal="center"/>
    </xf>
    <xf numFmtId="0" fontId="0" fillId="0" borderId="19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40" fillId="0" borderId="15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zoomScalePageLayoutView="0" workbookViewId="0" topLeftCell="A71">
      <selection activeCell="A78" sqref="A78"/>
    </sheetView>
  </sheetViews>
  <sheetFormatPr defaultColWidth="9.140625" defaultRowHeight="15"/>
  <cols>
    <col min="1" max="1" width="29.140625" style="0" customWidth="1"/>
    <col min="2" max="2" width="25.57421875" style="0" customWidth="1"/>
    <col min="3" max="3" width="33.00390625" style="0" customWidth="1"/>
    <col min="4" max="4" width="33.8515625" style="0" customWidth="1"/>
    <col min="5" max="5" width="31.7109375" style="0" customWidth="1"/>
    <col min="7" max="7" width="15.00390625" style="0" bestFit="1" customWidth="1"/>
  </cols>
  <sheetData>
    <row r="1" ht="18.75">
      <c r="A1" s="1" t="s">
        <v>0</v>
      </c>
    </row>
    <row r="2" spans="1:5" ht="15.75">
      <c r="A2" s="11" t="s">
        <v>1</v>
      </c>
      <c r="B2" s="11"/>
      <c r="C2" s="11"/>
      <c r="D2" s="11"/>
      <c r="E2" s="11"/>
    </row>
    <row r="3" ht="15.75">
      <c r="A3" s="2" t="s">
        <v>13</v>
      </c>
    </row>
    <row r="4" ht="15.75">
      <c r="A4" s="2" t="s">
        <v>2</v>
      </c>
    </row>
    <row r="5" ht="16.5" thickBot="1">
      <c r="A5" s="3"/>
    </row>
    <row r="6" spans="1:6" ht="55.5" customHeight="1">
      <c r="A6" s="84" t="s">
        <v>3</v>
      </c>
      <c r="B6" s="84" t="s">
        <v>4</v>
      </c>
      <c r="C6" s="84" t="s">
        <v>5</v>
      </c>
      <c r="D6" s="84" t="s">
        <v>6</v>
      </c>
      <c r="E6" s="55" t="s">
        <v>7</v>
      </c>
      <c r="F6" s="87" t="s">
        <v>114</v>
      </c>
    </row>
    <row r="7" spans="1:6" ht="18.75">
      <c r="A7" s="85"/>
      <c r="B7" s="85"/>
      <c r="C7" s="85"/>
      <c r="D7" s="85"/>
      <c r="E7" s="56" t="s">
        <v>8</v>
      </c>
      <c r="F7" s="88"/>
    </row>
    <row r="8" spans="1:6" ht="19.5" thickBot="1">
      <c r="A8" s="86"/>
      <c r="B8" s="86"/>
      <c r="C8" s="86"/>
      <c r="D8" s="86"/>
      <c r="E8" s="57" t="s">
        <v>9</v>
      </c>
      <c r="F8" s="89"/>
    </row>
    <row r="9" spans="1:6" ht="19.5" thickBot="1">
      <c r="A9" s="7">
        <v>1</v>
      </c>
      <c r="B9" s="8">
        <v>2</v>
      </c>
      <c r="C9" s="8">
        <v>3</v>
      </c>
      <c r="D9" s="8">
        <v>4</v>
      </c>
      <c r="E9" s="22">
        <v>5</v>
      </c>
      <c r="F9" s="19"/>
    </row>
    <row r="10" spans="1:6" ht="19.5" thickBot="1">
      <c r="A10" s="9" t="s">
        <v>144</v>
      </c>
      <c r="B10" s="10">
        <f>(12866*1.342)</f>
        <v>17266.172000000002</v>
      </c>
      <c r="C10" s="24">
        <f>8934</f>
        <v>8934</v>
      </c>
      <c r="D10" s="10">
        <v>70</v>
      </c>
      <c r="E10" s="58">
        <f>B10/C10*D10+1.66</f>
        <v>136.9445354824267</v>
      </c>
      <c r="F10" s="19">
        <f>136.94*1106</f>
        <v>151455.63999999998</v>
      </c>
    </row>
    <row r="11" spans="1:6" ht="19.5" thickBot="1">
      <c r="A11" s="9"/>
      <c r="B11" s="10"/>
      <c r="C11" s="10"/>
      <c r="D11" s="10"/>
      <c r="E11" s="26"/>
      <c r="F11" s="19"/>
    </row>
    <row r="12" spans="1:6" ht="19.5" thickBot="1">
      <c r="A12" s="9" t="s">
        <v>10</v>
      </c>
      <c r="B12" s="10"/>
      <c r="C12" s="10"/>
      <c r="D12" s="10"/>
      <c r="E12" s="26"/>
      <c r="F12" s="19"/>
    </row>
    <row r="13" spans="1:7" ht="19.5" thickBot="1">
      <c r="A13" s="9" t="s">
        <v>11</v>
      </c>
      <c r="B13" s="8" t="s">
        <v>12</v>
      </c>
      <c r="C13" s="8" t="s">
        <v>12</v>
      </c>
      <c r="D13" s="8" t="s">
        <v>12</v>
      </c>
      <c r="E13" s="59">
        <f>E10+E11</f>
        <v>136.9445354824267</v>
      </c>
      <c r="F13" s="19"/>
      <c r="G13" s="62"/>
    </row>
    <row r="14" ht="15">
      <c r="B14" t="s">
        <v>16</v>
      </c>
    </row>
    <row r="15" ht="15">
      <c r="B15" t="s">
        <v>15</v>
      </c>
    </row>
    <row r="16" spans="1:5" ht="15.75">
      <c r="A16" s="11" t="s">
        <v>1</v>
      </c>
      <c r="B16" s="11"/>
      <c r="C16" s="11"/>
      <c r="D16" s="11"/>
      <c r="E16" s="11"/>
    </row>
    <row r="17" ht="15.75">
      <c r="A17" s="2" t="s">
        <v>14</v>
      </c>
    </row>
    <row r="18" ht="15.75">
      <c r="A18" s="2" t="s">
        <v>2</v>
      </c>
    </row>
    <row r="19" ht="16.5" thickBot="1">
      <c r="A19" s="3"/>
    </row>
    <row r="20" spans="1:6" ht="37.5" customHeight="1">
      <c r="A20" s="84" t="s">
        <v>3</v>
      </c>
      <c r="B20" s="84" t="s">
        <v>4</v>
      </c>
      <c r="C20" s="84" t="s">
        <v>5</v>
      </c>
      <c r="D20" s="84" t="s">
        <v>6</v>
      </c>
      <c r="E20" s="55" t="s">
        <v>7</v>
      </c>
      <c r="F20" s="87" t="s">
        <v>114</v>
      </c>
    </row>
    <row r="21" spans="1:6" ht="18.75">
      <c r="A21" s="85"/>
      <c r="B21" s="85"/>
      <c r="C21" s="85"/>
      <c r="D21" s="85"/>
      <c r="E21" s="56" t="s">
        <v>8</v>
      </c>
      <c r="F21" s="88"/>
    </row>
    <row r="22" spans="1:6" ht="19.5" thickBot="1">
      <c r="A22" s="86"/>
      <c r="B22" s="86"/>
      <c r="C22" s="86"/>
      <c r="D22" s="86"/>
      <c r="E22" s="57" t="s">
        <v>9</v>
      </c>
      <c r="F22" s="89"/>
    </row>
    <row r="23" spans="1:6" ht="19.5" thickBot="1">
      <c r="A23" s="7">
        <v>1</v>
      </c>
      <c r="B23" s="8">
        <v>2</v>
      </c>
      <c r="C23" s="8">
        <v>3</v>
      </c>
      <c r="D23" s="8">
        <v>4</v>
      </c>
      <c r="E23" s="22">
        <v>5</v>
      </c>
      <c r="F23" s="19"/>
    </row>
    <row r="24" spans="1:6" ht="19.5" thickBot="1">
      <c r="A24" s="9" t="s">
        <v>145</v>
      </c>
      <c r="B24" s="12">
        <f>17266.17</f>
        <v>17266.17</v>
      </c>
      <c r="C24" s="24">
        <f>8934</f>
        <v>8934</v>
      </c>
      <c r="D24" s="10">
        <v>60</v>
      </c>
      <c r="E24" s="58">
        <f>B24/C24*D24+1.66</f>
        <v>117.61815983881799</v>
      </c>
      <c r="F24" s="19">
        <f>117.62*474</f>
        <v>55751.880000000005</v>
      </c>
    </row>
    <row r="25" spans="1:6" ht="38.25" thickBot="1">
      <c r="A25" s="9" t="s">
        <v>87</v>
      </c>
      <c r="B25" s="12">
        <v>42259.58</v>
      </c>
      <c r="C25" s="24">
        <f>3*8934</f>
        <v>26802</v>
      </c>
      <c r="D25" s="10">
        <v>40</v>
      </c>
      <c r="E25" s="58">
        <f>B25/C25*D25+4.98</f>
        <v>68.04929333631819</v>
      </c>
      <c r="F25" s="19">
        <f>68.05*5136</f>
        <v>349504.8</v>
      </c>
    </row>
    <row r="26" spans="1:6" ht="38.25" thickBot="1">
      <c r="A26" s="9" t="s">
        <v>88</v>
      </c>
      <c r="B26" s="10">
        <v>34502.82</v>
      </c>
      <c r="C26" s="24">
        <f>2*8934</f>
        <v>17868</v>
      </c>
      <c r="D26" s="10">
        <v>40</v>
      </c>
      <c r="E26" s="58">
        <f>B26/C26*D26+6.1</f>
        <v>83.33935527199462</v>
      </c>
      <c r="F26" s="19">
        <f>83.34*3424</f>
        <v>285356.16000000003</v>
      </c>
    </row>
    <row r="27" spans="1:8" ht="19.5" thickBot="1">
      <c r="A27" s="9" t="s">
        <v>11</v>
      </c>
      <c r="B27" s="8" t="s">
        <v>12</v>
      </c>
      <c r="C27" s="8" t="s">
        <v>12</v>
      </c>
      <c r="D27" s="8" t="s">
        <v>12</v>
      </c>
      <c r="E27" s="59">
        <v>181.97</v>
      </c>
      <c r="F27" s="19">
        <f>SUM(F24:F26)</f>
        <v>690612.8400000001</v>
      </c>
      <c r="G27">
        <v>9034</v>
      </c>
      <c r="H27">
        <f>F27/G27</f>
        <v>76.44596413548817</v>
      </c>
    </row>
    <row r="30" spans="1:5" ht="15.75">
      <c r="A30" s="11" t="s">
        <v>1</v>
      </c>
      <c r="B30" s="11"/>
      <c r="C30" s="11"/>
      <c r="D30" s="11"/>
      <c r="E30" s="11"/>
    </row>
    <row r="31" ht="15.75">
      <c r="A31" s="2" t="s">
        <v>17</v>
      </c>
    </row>
    <row r="32" ht="15.75">
      <c r="A32" s="2" t="s">
        <v>2</v>
      </c>
    </row>
    <row r="33" ht="16.5" thickBot="1">
      <c r="A33" s="3"/>
    </row>
    <row r="34" spans="1:6" ht="37.5" customHeight="1">
      <c r="A34" s="84" t="s">
        <v>3</v>
      </c>
      <c r="B34" s="84" t="s">
        <v>4</v>
      </c>
      <c r="C34" s="84" t="s">
        <v>5</v>
      </c>
      <c r="D34" s="84" t="s">
        <v>6</v>
      </c>
      <c r="E34" s="55" t="s">
        <v>7</v>
      </c>
      <c r="F34" s="87" t="s">
        <v>114</v>
      </c>
    </row>
    <row r="35" spans="1:6" ht="18.75">
      <c r="A35" s="85"/>
      <c r="B35" s="85"/>
      <c r="C35" s="85"/>
      <c r="D35" s="85"/>
      <c r="E35" s="56" t="s">
        <v>8</v>
      </c>
      <c r="F35" s="88"/>
    </row>
    <row r="36" spans="1:6" ht="19.5" thickBot="1">
      <c r="A36" s="86"/>
      <c r="B36" s="86"/>
      <c r="C36" s="86"/>
      <c r="D36" s="86"/>
      <c r="E36" s="57" t="s">
        <v>9</v>
      </c>
      <c r="F36" s="89"/>
    </row>
    <row r="37" spans="1:6" ht="19.5" thickBot="1">
      <c r="A37" s="7">
        <v>1</v>
      </c>
      <c r="B37" s="8">
        <v>2</v>
      </c>
      <c r="C37" s="8">
        <v>3</v>
      </c>
      <c r="D37" s="8">
        <v>4</v>
      </c>
      <c r="E37" s="22">
        <v>5</v>
      </c>
      <c r="F37" s="19"/>
    </row>
    <row r="38" spans="1:6" ht="19.5" thickBot="1">
      <c r="A38" s="9" t="s">
        <v>23</v>
      </c>
      <c r="B38" s="12">
        <v>42259.58</v>
      </c>
      <c r="C38" s="24">
        <f>3*8934</f>
        <v>26802</v>
      </c>
      <c r="D38" s="10">
        <v>40</v>
      </c>
      <c r="E38" s="58">
        <v>68.05</v>
      </c>
      <c r="F38" s="19">
        <f>68.05*494</f>
        <v>33616.7</v>
      </c>
    </row>
    <row r="39" spans="1:6" ht="19.5" thickBot="1">
      <c r="A39" s="9" t="s">
        <v>21</v>
      </c>
      <c r="B39" s="10">
        <v>34502.82</v>
      </c>
      <c r="C39" s="24">
        <f>2*8934</f>
        <v>17868</v>
      </c>
      <c r="D39" s="10">
        <v>40</v>
      </c>
      <c r="E39" s="58">
        <f>B39/C39*D39+6.1</f>
        <v>83.33935527199462</v>
      </c>
      <c r="F39" s="19">
        <f>83.34*330</f>
        <v>27502.2</v>
      </c>
    </row>
    <row r="40" spans="1:6" ht="19.5" thickBot="1">
      <c r="A40" s="9" t="s">
        <v>10</v>
      </c>
      <c r="B40" s="10"/>
      <c r="C40" s="10"/>
      <c r="D40" s="10"/>
      <c r="E40" s="26"/>
      <c r="F40" s="19"/>
    </row>
    <row r="41" spans="1:8" ht="19.5" thickBot="1">
      <c r="A41" s="9" t="s">
        <v>11</v>
      </c>
      <c r="B41" s="8" t="s">
        <v>12</v>
      </c>
      <c r="C41" s="8" t="s">
        <v>12</v>
      </c>
      <c r="D41" s="8" t="s">
        <v>12</v>
      </c>
      <c r="E41" s="59">
        <f>E38+E39</f>
        <v>151.38935527199462</v>
      </c>
      <c r="F41" s="19">
        <f>SUM(F38:F40)</f>
        <v>61118.899999999994</v>
      </c>
      <c r="G41">
        <v>824</v>
      </c>
      <c r="H41">
        <f>F41/G41</f>
        <v>74.17342233009708</v>
      </c>
    </row>
    <row r="44" spans="1:5" ht="15.75">
      <c r="A44" s="11" t="s">
        <v>1</v>
      </c>
      <c r="B44" s="11"/>
      <c r="C44" s="11"/>
      <c r="D44" s="11"/>
      <c r="E44" s="11"/>
    </row>
    <row r="45" ht="15.75">
      <c r="A45" s="2" t="s">
        <v>18</v>
      </c>
    </row>
    <row r="46" ht="15.75">
      <c r="A46" s="2" t="s">
        <v>2</v>
      </c>
    </row>
    <row r="47" ht="16.5" thickBot="1">
      <c r="A47" s="3"/>
    </row>
    <row r="48" spans="1:6" ht="37.5" customHeight="1">
      <c r="A48" s="84" t="s">
        <v>3</v>
      </c>
      <c r="B48" s="84" t="s">
        <v>4</v>
      </c>
      <c r="C48" s="84" t="s">
        <v>5</v>
      </c>
      <c r="D48" s="84" t="s">
        <v>6</v>
      </c>
      <c r="E48" s="55" t="s">
        <v>7</v>
      </c>
      <c r="F48" s="87" t="s">
        <v>114</v>
      </c>
    </row>
    <row r="49" spans="1:6" ht="18.75">
      <c r="A49" s="85"/>
      <c r="B49" s="85"/>
      <c r="C49" s="85"/>
      <c r="D49" s="85"/>
      <c r="E49" s="56" t="s">
        <v>8</v>
      </c>
      <c r="F49" s="88"/>
    </row>
    <row r="50" spans="1:6" ht="19.5" thickBot="1">
      <c r="A50" s="86"/>
      <c r="B50" s="86"/>
      <c r="C50" s="86"/>
      <c r="D50" s="86"/>
      <c r="E50" s="57" t="s">
        <v>9</v>
      </c>
      <c r="F50" s="89"/>
    </row>
    <row r="51" spans="1:6" ht="19.5" thickBot="1">
      <c r="A51" s="7">
        <v>1</v>
      </c>
      <c r="B51" s="8">
        <v>2</v>
      </c>
      <c r="C51" s="8">
        <v>3</v>
      </c>
      <c r="D51" s="8">
        <v>4</v>
      </c>
      <c r="E51" s="22">
        <v>5</v>
      </c>
      <c r="F51" s="19"/>
    </row>
    <row r="52" spans="1:6" ht="19.5" thickBot="1">
      <c r="A52" s="9" t="s">
        <v>23</v>
      </c>
      <c r="B52" s="12">
        <v>42259.58</v>
      </c>
      <c r="C52" s="24">
        <f>3*8934</f>
        <v>26802</v>
      </c>
      <c r="D52" s="10">
        <v>40</v>
      </c>
      <c r="E52" s="58">
        <f>B52/C52*D52+4.98</f>
        <v>68.04929333631819</v>
      </c>
      <c r="F52" s="19">
        <f>68.05*628</f>
        <v>42735.4</v>
      </c>
    </row>
    <row r="53" spans="1:6" ht="19.5" thickBot="1">
      <c r="A53" s="9" t="s">
        <v>21</v>
      </c>
      <c r="B53" s="10">
        <v>34502.82</v>
      </c>
      <c r="C53" s="24">
        <f>2*8934</f>
        <v>17868</v>
      </c>
      <c r="D53" s="10">
        <v>40</v>
      </c>
      <c r="E53" s="58">
        <f>B53/C53*D53+6.1</f>
        <v>83.33935527199462</v>
      </c>
      <c r="F53" s="19">
        <f>83.34*419</f>
        <v>34919.46</v>
      </c>
    </row>
    <row r="54" spans="1:6" ht="19.5" thickBot="1">
      <c r="A54" s="9" t="s">
        <v>10</v>
      </c>
      <c r="B54" s="10"/>
      <c r="C54" s="10"/>
      <c r="D54" s="10"/>
      <c r="E54" s="26"/>
      <c r="F54" s="19"/>
    </row>
    <row r="55" spans="1:8" ht="19.5" thickBot="1">
      <c r="A55" s="9" t="s">
        <v>11</v>
      </c>
      <c r="B55" s="8" t="s">
        <v>12</v>
      </c>
      <c r="C55" s="8" t="s">
        <v>12</v>
      </c>
      <c r="D55" s="8" t="s">
        <v>12</v>
      </c>
      <c r="E55" s="59">
        <f>E52+E53</f>
        <v>151.3886486083128</v>
      </c>
      <c r="F55" s="19">
        <f>SUM(F52:F54)</f>
        <v>77654.86</v>
      </c>
      <c r="G55">
        <v>1047</v>
      </c>
      <c r="H55">
        <f>F55/G55</f>
        <v>74.16892072588348</v>
      </c>
    </row>
    <row r="58" spans="1:5" ht="15.75">
      <c r="A58" s="11" t="s">
        <v>1</v>
      </c>
      <c r="B58" s="11"/>
      <c r="C58" s="11"/>
      <c r="D58" s="11"/>
      <c r="E58" s="11"/>
    </row>
    <row r="59" ht="15.75">
      <c r="A59" s="2" t="s">
        <v>19</v>
      </c>
    </row>
    <row r="60" ht="15.75">
      <c r="A60" s="2" t="s">
        <v>2</v>
      </c>
    </row>
    <row r="61" ht="16.5" thickBot="1">
      <c r="A61" s="3"/>
    </row>
    <row r="62" spans="1:6" ht="37.5" customHeight="1">
      <c r="A62" s="84" t="s">
        <v>3</v>
      </c>
      <c r="B62" s="84" t="s">
        <v>4</v>
      </c>
      <c r="C62" s="84" t="s">
        <v>5</v>
      </c>
      <c r="D62" s="84" t="s">
        <v>6</v>
      </c>
      <c r="E62" s="55" t="s">
        <v>7</v>
      </c>
      <c r="F62" s="87" t="s">
        <v>114</v>
      </c>
    </row>
    <row r="63" spans="1:6" ht="18.75">
      <c r="A63" s="85"/>
      <c r="B63" s="85"/>
      <c r="C63" s="85"/>
      <c r="D63" s="85"/>
      <c r="E63" s="56" t="s">
        <v>8</v>
      </c>
      <c r="F63" s="88"/>
    </row>
    <row r="64" spans="1:6" ht="19.5" thickBot="1">
      <c r="A64" s="86"/>
      <c r="B64" s="86"/>
      <c r="C64" s="86"/>
      <c r="D64" s="86"/>
      <c r="E64" s="57" t="s">
        <v>9</v>
      </c>
      <c r="F64" s="89"/>
    </row>
    <row r="65" spans="1:6" ht="19.5" thickBot="1">
      <c r="A65" s="7">
        <v>1</v>
      </c>
      <c r="B65" s="8">
        <v>2</v>
      </c>
      <c r="C65" s="8">
        <v>3</v>
      </c>
      <c r="D65" s="8">
        <v>4</v>
      </c>
      <c r="E65" s="22">
        <v>5</v>
      </c>
      <c r="F65" s="19"/>
    </row>
    <row r="66" spans="1:6" ht="19.5" thickBot="1">
      <c r="A66" s="9" t="s">
        <v>23</v>
      </c>
      <c r="B66" s="12">
        <v>42259.58</v>
      </c>
      <c r="C66" s="24">
        <f>3*8934</f>
        <v>26802</v>
      </c>
      <c r="D66" s="10">
        <v>40</v>
      </c>
      <c r="E66" s="58">
        <f>B66/C66*D66+4.98</f>
        <v>68.04929333631819</v>
      </c>
      <c r="F66" s="19">
        <f>68.05*355</f>
        <v>24157.75</v>
      </c>
    </row>
    <row r="67" spans="1:6" ht="19.5" thickBot="1">
      <c r="A67" s="9" t="s">
        <v>21</v>
      </c>
      <c r="B67" s="10">
        <v>34502.82</v>
      </c>
      <c r="C67" s="24">
        <f>2*8934</f>
        <v>17868</v>
      </c>
      <c r="D67" s="10">
        <v>40</v>
      </c>
      <c r="E67" s="58">
        <f>B67/C67*D67+6.1</f>
        <v>83.33935527199462</v>
      </c>
      <c r="F67" s="19">
        <f>83.34*236</f>
        <v>19668.24</v>
      </c>
    </row>
    <row r="68" spans="1:6" ht="19.5" thickBot="1">
      <c r="A68" s="9" t="s">
        <v>10</v>
      </c>
      <c r="B68" s="10"/>
      <c r="C68" s="10"/>
      <c r="D68" s="10"/>
      <c r="E68" s="26"/>
      <c r="F68" s="19"/>
    </row>
    <row r="69" spans="1:8" ht="19.5" thickBot="1">
      <c r="A69" s="9" t="s">
        <v>11</v>
      </c>
      <c r="B69" s="8" t="s">
        <v>12</v>
      </c>
      <c r="C69" s="8" t="s">
        <v>12</v>
      </c>
      <c r="D69" s="8" t="s">
        <v>12</v>
      </c>
      <c r="E69" s="59">
        <f>E66+E67</f>
        <v>151.3886486083128</v>
      </c>
      <c r="F69" s="19">
        <f>SUM(F66:F68)</f>
        <v>43825.990000000005</v>
      </c>
      <c r="G69">
        <v>591</v>
      </c>
      <c r="H69">
        <f>F69/G69</f>
        <v>74.15565143824028</v>
      </c>
    </row>
    <row r="71" spans="1:5" ht="15.75">
      <c r="A71" s="11" t="s">
        <v>1</v>
      </c>
      <c r="B71" s="11"/>
      <c r="C71" s="11"/>
      <c r="D71" s="11"/>
      <c r="E71" s="11"/>
    </row>
    <row r="72" ht="15.75">
      <c r="A72" s="2" t="s">
        <v>20</v>
      </c>
    </row>
    <row r="73" ht="15.75">
      <c r="A73" s="2" t="s">
        <v>2</v>
      </c>
    </row>
    <row r="74" ht="16.5" thickBot="1">
      <c r="A74" s="3"/>
    </row>
    <row r="75" spans="1:6" ht="37.5" customHeight="1">
      <c r="A75" s="84" t="s">
        <v>3</v>
      </c>
      <c r="B75" s="84" t="s">
        <v>4</v>
      </c>
      <c r="C75" s="84" t="s">
        <v>5</v>
      </c>
      <c r="D75" s="84" t="s">
        <v>6</v>
      </c>
      <c r="E75" s="55" t="s">
        <v>7</v>
      </c>
      <c r="F75" s="87" t="s">
        <v>114</v>
      </c>
    </row>
    <row r="76" spans="1:6" ht="18.75">
      <c r="A76" s="85"/>
      <c r="B76" s="85"/>
      <c r="C76" s="85"/>
      <c r="D76" s="85"/>
      <c r="E76" s="56" t="s">
        <v>8</v>
      </c>
      <c r="F76" s="88"/>
    </row>
    <row r="77" spans="1:6" ht="19.5" thickBot="1">
      <c r="A77" s="86"/>
      <c r="B77" s="86"/>
      <c r="C77" s="86"/>
      <c r="D77" s="86"/>
      <c r="E77" s="57" t="s">
        <v>9</v>
      </c>
      <c r="F77" s="89"/>
    </row>
    <row r="78" spans="1:6" ht="19.5" thickBot="1">
      <c r="A78" s="7">
        <v>1</v>
      </c>
      <c r="B78" s="8">
        <v>2</v>
      </c>
      <c r="C78" s="8">
        <v>3</v>
      </c>
      <c r="D78" s="8">
        <v>4</v>
      </c>
      <c r="E78" s="22">
        <v>5</v>
      </c>
      <c r="F78" s="19"/>
    </row>
    <row r="79" spans="1:6" ht="19.5" thickBot="1">
      <c r="A79" s="9" t="s">
        <v>23</v>
      </c>
      <c r="B79" s="12">
        <v>42259.58</v>
      </c>
      <c r="C79" s="24">
        <f>3*8934</f>
        <v>26802</v>
      </c>
      <c r="D79" s="10">
        <v>40</v>
      </c>
      <c r="E79" s="58">
        <f>B79/C79*D79+4.98</f>
        <v>68.04929333631819</v>
      </c>
      <c r="F79" s="19">
        <f>68.05*839</f>
        <v>57093.95</v>
      </c>
    </row>
    <row r="80" spans="1:6" ht="19.5" thickBot="1">
      <c r="A80" s="9" t="s">
        <v>21</v>
      </c>
      <c r="B80" s="10">
        <v>34502.82</v>
      </c>
      <c r="C80" s="24">
        <f>2*8934</f>
        <v>17868</v>
      </c>
      <c r="D80" s="10">
        <v>40</v>
      </c>
      <c r="E80" s="58">
        <f>B80/C80*D80+6.1</f>
        <v>83.33935527199462</v>
      </c>
      <c r="F80" s="19">
        <f>83.34*559</f>
        <v>46587.060000000005</v>
      </c>
    </row>
    <row r="81" spans="1:6" ht="19.5" thickBot="1">
      <c r="A81" s="9" t="s">
        <v>10</v>
      </c>
      <c r="B81" s="10"/>
      <c r="C81" s="10"/>
      <c r="D81" s="10"/>
      <c r="E81" s="26"/>
      <c r="F81" s="19"/>
    </row>
    <row r="82" spans="1:8" ht="19.5" thickBot="1">
      <c r="A82" s="9" t="s">
        <v>11</v>
      </c>
      <c r="B82" s="8" t="s">
        <v>12</v>
      </c>
      <c r="C82" s="8" t="s">
        <v>12</v>
      </c>
      <c r="D82" s="8" t="s">
        <v>12</v>
      </c>
      <c r="E82" s="59">
        <f>E79+E80</f>
        <v>151.3886486083128</v>
      </c>
      <c r="F82" s="19">
        <f>SUM(F79:F81)</f>
        <v>103681.01000000001</v>
      </c>
      <c r="G82" s="62">
        <f>1398</f>
        <v>1398</v>
      </c>
      <c r="H82">
        <f>F82/G82</f>
        <v>74.16381258941345</v>
      </c>
    </row>
    <row r="85" spans="1:5" ht="37.5">
      <c r="A85" s="18" t="s">
        <v>71</v>
      </c>
      <c r="B85" s="39" t="s">
        <v>72</v>
      </c>
      <c r="C85" s="39" t="s">
        <v>73</v>
      </c>
      <c r="D85" s="19" t="s">
        <v>110</v>
      </c>
      <c r="E85" s="19" t="s">
        <v>118</v>
      </c>
    </row>
    <row r="86" spans="1:5" ht="15">
      <c r="A86" s="19"/>
      <c r="B86" s="19"/>
      <c r="C86" s="19"/>
      <c r="D86" s="19"/>
      <c r="E86" s="19"/>
    </row>
    <row r="87" spans="1:5" ht="18.75">
      <c r="A87" s="28" t="s">
        <v>22</v>
      </c>
      <c r="B87" s="19">
        <f>1.342*154400</f>
        <v>207204.80000000002</v>
      </c>
      <c r="C87" s="20">
        <f>B87/12</f>
        <v>17267.06666666667</v>
      </c>
      <c r="D87" s="19">
        <v>207202.8</v>
      </c>
      <c r="E87" s="19">
        <f>B87-D87</f>
        <v>2.000000000029104</v>
      </c>
    </row>
    <row r="88" spans="1:5" ht="18.75">
      <c r="A88" s="28" t="s">
        <v>23</v>
      </c>
      <c r="B88" s="19">
        <f>125960*3*1.342</f>
        <v>507114.96</v>
      </c>
      <c r="C88" s="19">
        <f>B88/12</f>
        <v>42259.58</v>
      </c>
      <c r="D88" s="19">
        <f>F25+F38+F52+F66+F79</f>
        <v>507108.60000000003</v>
      </c>
      <c r="E88" s="19">
        <f>B88-D88</f>
        <v>6.35999999998603</v>
      </c>
    </row>
    <row r="89" spans="1:5" ht="18.75">
      <c r="A89" s="28" t="s">
        <v>21</v>
      </c>
      <c r="B89" s="19">
        <f>2*154260*1.342</f>
        <v>414033.84</v>
      </c>
      <c r="C89" s="19">
        <f>B89/12</f>
        <v>34502.82</v>
      </c>
      <c r="D89" s="19">
        <f>F26+F39+F53+F67+F80</f>
        <v>414033.12000000005</v>
      </c>
      <c r="E89" s="19">
        <f>B89-D89</f>
        <v>0.7199999999720603</v>
      </c>
    </row>
    <row r="90" spans="1:5" ht="15">
      <c r="A90" s="19"/>
      <c r="B90" s="19"/>
      <c r="C90" s="19"/>
      <c r="D90" s="19"/>
      <c r="E90" s="19"/>
    </row>
    <row r="91" spans="1:5" ht="15">
      <c r="A91" s="19" t="s">
        <v>53</v>
      </c>
      <c r="B91" s="19">
        <f>SUM(B87:B90)</f>
        <v>1128353.6</v>
      </c>
      <c r="C91" s="19"/>
      <c r="D91" s="19"/>
      <c r="E91" s="19">
        <f>SUM(E87:E90)</f>
        <v>9.079999999987194</v>
      </c>
    </row>
    <row r="92" ht="15">
      <c r="E92">
        <v>14000</v>
      </c>
    </row>
    <row r="94" spans="1:5" ht="45" customHeight="1">
      <c r="A94" s="19" t="s">
        <v>74</v>
      </c>
      <c r="B94" s="19" t="s">
        <v>75</v>
      </c>
      <c r="C94" s="83" t="s">
        <v>76</v>
      </c>
      <c r="D94" s="83"/>
      <c r="E94" s="83"/>
    </row>
    <row r="95" spans="1:5" ht="18.75">
      <c r="A95" s="19"/>
      <c r="B95" s="19"/>
      <c r="C95" s="28" t="s">
        <v>22</v>
      </c>
      <c r="D95" s="28" t="s">
        <v>23</v>
      </c>
      <c r="E95" s="28" t="s">
        <v>21</v>
      </c>
    </row>
    <row r="96" spans="1:5" ht="15.75">
      <c r="A96" s="40" t="s">
        <v>13</v>
      </c>
      <c r="B96" s="19">
        <v>1106</v>
      </c>
      <c r="C96" s="19" t="s">
        <v>79</v>
      </c>
      <c r="D96" s="19"/>
      <c r="E96" s="19"/>
    </row>
    <row r="97" spans="1:5" ht="15.75">
      <c r="A97" s="40" t="s">
        <v>14</v>
      </c>
      <c r="B97" s="19">
        <v>9034</v>
      </c>
      <c r="C97" s="19" t="s">
        <v>80</v>
      </c>
      <c r="D97" s="19">
        <f>1712*3</f>
        <v>5136</v>
      </c>
      <c r="E97" s="19">
        <f>1712*2</f>
        <v>3424</v>
      </c>
    </row>
    <row r="98" spans="1:5" ht="15.75">
      <c r="A98" s="40" t="s">
        <v>17</v>
      </c>
      <c r="B98" s="19">
        <v>824</v>
      </c>
      <c r="C98" s="19"/>
      <c r="D98" s="19">
        <v>494</v>
      </c>
      <c r="E98" s="19">
        <f>B98-D98</f>
        <v>330</v>
      </c>
    </row>
    <row r="99" spans="1:5" ht="15.75">
      <c r="A99" s="40" t="s">
        <v>18</v>
      </c>
      <c r="B99" s="19">
        <v>1047</v>
      </c>
      <c r="C99" s="19"/>
      <c r="D99" s="19">
        <v>628</v>
      </c>
      <c r="E99" s="19">
        <f>B99-D99</f>
        <v>419</v>
      </c>
    </row>
    <row r="100" spans="1:5" ht="15.75">
      <c r="A100" s="40" t="s">
        <v>19</v>
      </c>
      <c r="B100" s="19">
        <v>591</v>
      </c>
      <c r="C100" s="19"/>
      <c r="D100" s="19">
        <v>355</v>
      </c>
      <c r="E100" s="19">
        <f>B100-D100</f>
        <v>236</v>
      </c>
    </row>
    <row r="101" spans="1:5" ht="15.75">
      <c r="A101" s="40" t="s">
        <v>20</v>
      </c>
      <c r="B101" s="19">
        <v>1398</v>
      </c>
      <c r="C101" s="19"/>
      <c r="D101" s="19">
        <v>839</v>
      </c>
      <c r="E101" s="19">
        <f>B101-D101</f>
        <v>559</v>
      </c>
    </row>
    <row r="102" spans="1:5" ht="15">
      <c r="A102" s="19"/>
      <c r="B102" s="19" t="s">
        <v>111</v>
      </c>
      <c r="C102" s="19" t="s">
        <v>112</v>
      </c>
      <c r="D102" s="19" t="s">
        <v>112</v>
      </c>
      <c r="E102" s="19" t="s">
        <v>112</v>
      </c>
    </row>
    <row r="103" spans="1:5" ht="30">
      <c r="A103" s="39" t="s">
        <v>116</v>
      </c>
      <c r="B103" s="19">
        <v>8934</v>
      </c>
      <c r="C103" s="19">
        <v>8560</v>
      </c>
      <c r="D103" s="19">
        <v>8280</v>
      </c>
      <c r="E103" s="19">
        <v>8080</v>
      </c>
    </row>
    <row r="104" spans="1:5" ht="15">
      <c r="A104" s="19" t="s">
        <v>115</v>
      </c>
      <c r="B104" s="19"/>
      <c r="C104" s="19">
        <f>B103-C103</f>
        <v>374</v>
      </c>
      <c r="D104" s="19">
        <f>B103-D103</f>
        <v>654</v>
      </c>
      <c r="E104" s="19">
        <f>B103-E103</f>
        <v>854</v>
      </c>
    </row>
    <row r="105" spans="1:5" ht="15">
      <c r="A105" s="19" t="s">
        <v>117</v>
      </c>
      <c r="B105" s="19"/>
      <c r="C105" s="19">
        <v>2620</v>
      </c>
      <c r="D105" s="19">
        <v>37117</v>
      </c>
      <c r="E105" s="19">
        <v>30305</v>
      </c>
    </row>
    <row r="106" spans="1:5" ht="15">
      <c r="A106" s="19"/>
      <c r="B106" s="19"/>
      <c r="C106" s="19"/>
      <c r="D106" s="19"/>
      <c r="E106" s="19"/>
    </row>
    <row r="107" spans="1:5" ht="15">
      <c r="A107" s="19"/>
      <c r="B107" s="19"/>
      <c r="C107" s="19"/>
      <c r="D107" s="19"/>
      <c r="E107" s="19"/>
    </row>
    <row r="110" ht="15">
      <c r="B110">
        <f>250600/14000</f>
        <v>17.9</v>
      </c>
    </row>
  </sheetData>
  <sheetProtection/>
  <mergeCells count="31">
    <mergeCell ref="A75:A77"/>
    <mergeCell ref="B75:B77"/>
    <mergeCell ref="C75:C77"/>
    <mergeCell ref="D75:D77"/>
    <mergeCell ref="F6:F8"/>
    <mergeCell ref="F20:F22"/>
    <mergeCell ref="F34:F36"/>
    <mergeCell ref="F48:F50"/>
    <mergeCell ref="F62:F64"/>
    <mergeCell ref="F75:F77"/>
    <mergeCell ref="D48:D50"/>
    <mergeCell ref="A62:A64"/>
    <mergeCell ref="B62:B64"/>
    <mergeCell ref="C62:C64"/>
    <mergeCell ref="D62:D64"/>
    <mergeCell ref="C94:E94"/>
    <mergeCell ref="A6:A8"/>
    <mergeCell ref="B6:B8"/>
    <mergeCell ref="C6:C8"/>
    <mergeCell ref="D6:D8"/>
    <mergeCell ref="A20:A22"/>
    <mergeCell ref="B20:B22"/>
    <mergeCell ref="C20:C22"/>
    <mergeCell ref="D20:D22"/>
    <mergeCell ref="A34:A36"/>
    <mergeCell ref="B34:B36"/>
    <mergeCell ref="C34:C36"/>
    <mergeCell ref="D34:D36"/>
    <mergeCell ref="A48:A50"/>
    <mergeCell ref="B48:B50"/>
    <mergeCell ref="C48:C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71"/>
  <sheetViews>
    <sheetView zoomScalePageLayoutView="0" workbookViewId="0" topLeftCell="A2">
      <selection activeCell="A5" sqref="A5:E233"/>
    </sheetView>
  </sheetViews>
  <sheetFormatPr defaultColWidth="9.140625" defaultRowHeight="15"/>
  <cols>
    <col min="1" max="1" width="35.00390625" style="0" customWidth="1"/>
    <col min="2" max="2" width="11.8515625" style="0" customWidth="1"/>
    <col min="3" max="3" width="16.8515625" style="0" customWidth="1"/>
    <col min="4" max="4" width="20.8515625" style="0" customWidth="1"/>
    <col min="5" max="5" width="22.8515625" style="0" customWidth="1"/>
    <col min="7" max="7" width="11.28125" style="0" customWidth="1"/>
    <col min="9" max="9" width="9.28125" style="0" bestFit="1" customWidth="1"/>
  </cols>
  <sheetData>
    <row r="2" ht="2.25" customHeight="1"/>
    <row r="3" ht="15" hidden="1"/>
    <row r="4" spans="1:5" ht="15" hidden="1">
      <c r="A4" s="90"/>
      <c r="B4" s="90"/>
      <c r="C4" s="90"/>
      <c r="D4" s="90"/>
      <c r="E4" s="90"/>
    </row>
    <row r="5" ht="18.75">
      <c r="A5" s="1" t="s">
        <v>24</v>
      </c>
    </row>
    <row r="6" spans="1:7" ht="15.75">
      <c r="A6" s="11" t="s">
        <v>32</v>
      </c>
      <c r="B6" s="11"/>
      <c r="C6" s="11"/>
      <c r="D6" s="11"/>
      <c r="E6" s="11"/>
      <c r="F6" s="11"/>
      <c r="G6" s="11"/>
    </row>
    <row r="7" spans="1:7" ht="15.75">
      <c r="A7" s="91" t="s">
        <v>33</v>
      </c>
      <c r="B7" s="91"/>
      <c r="C7" s="91"/>
      <c r="D7" s="91"/>
      <c r="E7" s="91"/>
      <c r="F7" s="11"/>
      <c r="G7" s="11"/>
    </row>
    <row r="8" spans="1:7" ht="15.75">
      <c r="A8" s="2"/>
      <c r="B8" s="2"/>
      <c r="C8" s="2"/>
      <c r="D8" s="2"/>
      <c r="E8" s="2"/>
      <c r="F8" s="11"/>
      <c r="G8" s="11"/>
    </row>
    <row r="9" spans="1:3" ht="15.75">
      <c r="A9" s="93" t="s">
        <v>13</v>
      </c>
      <c r="B9" s="93"/>
      <c r="C9" s="93"/>
    </row>
    <row r="10" spans="1:2" ht="18.75">
      <c r="A10" s="92" t="s">
        <v>2</v>
      </c>
      <c r="B10" s="92"/>
    </row>
    <row r="11" ht="19.5" thickBot="1">
      <c r="A11" s="14"/>
    </row>
    <row r="12" spans="1:5" ht="56.25">
      <c r="A12" s="84" t="s">
        <v>26</v>
      </c>
      <c r="B12" s="84" t="s">
        <v>35</v>
      </c>
      <c r="C12" s="84" t="s">
        <v>28</v>
      </c>
      <c r="D12" s="84" t="s">
        <v>29</v>
      </c>
      <c r="E12" s="4" t="s">
        <v>30</v>
      </c>
    </row>
    <row r="13" spans="1:5" ht="19.5" thickBot="1">
      <c r="A13" s="86"/>
      <c r="B13" s="86"/>
      <c r="C13" s="86"/>
      <c r="D13" s="86"/>
      <c r="E13" s="6" t="s">
        <v>31</v>
      </c>
    </row>
    <row r="14" spans="1:5" ht="19.5" thickBot="1">
      <c r="A14" s="7">
        <v>1</v>
      </c>
      <c r="B14" s="8">
        <v>2</v>
      </c>
      <c r="C14" s="8">
        <v>3</v>
      </c>
      <c r="D14" s="8">
        <v>4</v>
      </c>
      <c r="E14" s="8">
        <v>5</v>
      </c>
    </row>
    <row r="15" spans="1:5" ht="19.5" thickBot="1">
      <c r="A15" s="9" t="s">
        <v>34</v>
      </c>
      <c r="B15" s="10" t="s">
        <v>36</v>
      </c>
      <c r="C15" s="10">
        <v>5</v>
      </c>
      <c r="D15" s="10">
        <v>200</v>
      </c>
      <c r="E15" s="10">
        <f>C15*D15</f>
        <v>1000</v>
      </c>
    </row>
    <row r="16" spans="1:5" ht="19.5" thickBot="1">
      <c r="A16" s="9" t="s">
        <v>40</v>
      </c>
      <c r="B16" s="10" t="s">
        <v>36</v>
      </c>
      <c r="C16" s="10">
        <v>2</v>
      </c>
      <c r="D16" s="10">
        <v>6</v>
      </c>
      <c r="E16" s="10">
        <f aca="true" t="shared" si="0" ref="E16:E24">C16*D16</f>
        <v>12</v>
      </c>
    </row>
    <row r="17" spans="1:5" ht="19.5" thickBot="1">
      <c r="A17" s="9" t="s">
        <v>41</v>
      </c>
      <c r="B17" s="10" t="s">
        <v>36</v>
      </c>
      <c r="C17" s="10">
        <v>1</v>
      </c>
      <c r="D17" s="10">
        <v>20</v>
      </c>
      <c r="E17" s="10">
        <f t="shared" si="0"/>
        <v>20</v>
      </c>
    </row>
    <row r="18" spans="1:5" ht="19.5" thickBot="1">
      <c r="A18" s="9" t="s">
        <v>42</v>
      </c>
      <c r="B18" s="10" t="s">
        <v>36</v>
      </c>
      <c r="C18" s="10">
        <v>12</v>
      </c>
      <c r="D18" s="10">
        <v>10</v>
      </c>
      <c r="E18" s="10">
        <f t="shared" si="0"/>
        <v>120</v>
      </c>
    </row>
    <row r="19" spans="1:5" ht="19.5" thickBot="1">
      <c r="A19" s="9" t="s">
        <v>43</v>
      </c>
      <c r="B19" s="10" t="s">
        <v>36</v>
      </c>
      <c r="C19" s="10">
        <v>2</v>
      </c>
      <c r="D19" s="10">
        <v>30</v>
      </c>
      <c r="E19" s="10">
        <f t="shared" si="0"/>
        <v>60</v>
      </c>
    </row>
    <row r="20" spans="1:5" ht="19.5" thickBot="1">
      <c r="A20" s="9" t="s">
        <v>45</v>
      </c>
      <c r="B20" s="10" t="s">
        <v>36</v>
      </c>
      <c r="C20" s="10">
        <v>120</v>
      </c>
      <c r="D20" s="10">
        <v>1</v>
      </c>
      <c r="E20" s="10">
        <f t="shared" si="0"/>
        <v>120</v>
      </c>
    </row>
    <row r="21" spans="1:5" ht="19.5" thickBot="1">
      <c r="A21" s="9" t="s">
        <v>48</v>
      </c>
      <c r="B21" s="10" t="s">
        <v>36</v>
      </c>
      <c r="C21" s="10">
        <v>1</v>
      </c>
      <c r="D21" s="10">
        <v>100</v>
      </c>
      <c r="E21" s="10">
        <f t="shared" si="0"/>
        <v>100</v>
      </c>
    </row>
    <row r="22" spans="1:5" ht="19.5" thickBot="1">
      <c r="A22" s="9" t="s">
        <v>49</v>
      </c>
      <c r="B22" s="10" t="s">
        <v>36</v>
      </c>
      <c r="C22" s="10">
        <v>46</v>
      </c>
      <c r="D22" s="10">
        <v>16</v>
      </c>
      <c r="E22" s="10">
        <f t="shared" si="0"/>
        <v>736</v>
      </c>
    </row>
    <row r="23" spans="1:5" ht="19.5" thickBot="1">
      <c r="A23" s="9" t="s">
        <v>46</v>
      </c>
      <c r="B23" s="10" t="s">
        <v>36</v>
      </c>
      <c r="C23" s="10">
        <v>4</v>
      </c>
      <c r="D23" s="10">
        <v>40</v>
      </c>
      <c r="E23" s="10">
        <f t="shared" si="0"/>
        <v>160</v>
      </c>
    </row>
    <row r="24" spans="1:5" ht="19.5" thickBot="1">
      <c r="A24" s="9" t="s">
        <v>47</v>
      </c>
      <c r="B24" s="10" t="s">
        <v>36</v>
      </c>
      <c r="C24" s="10">
        <v>1</v>
      </c>
      <c r="D24" s="10">
        <v>200</v>
      </c>
      <c r="E24" s="10">
        <f t="shared" si="0"/>
        <v>200</v>
      </c>
    </row>
    <row r="25" spans="1:5" ht="19.5" thickBot="1">
      <c r="A25" s="9" t="s">
        <v>37</v>
      </c>
      <c r="B25" s="10" t="s">
        <v>38</v>
      </c>
      <c r="C25" s="10">
        <v>2</v>
      </c>
      <c r="D25" s="10">
        <v>100</v>
      </c>
      <c r="E25" s="10">
        <f>C25*D25</f>
        <v>200</v>
      </c>
    </row>
    <row r="26" spans="1:5" ht="19.5" thickBot="1">
      <c r="A26" s="9" t="s">
        <v>44</v>
      </c>
      <c r="B26" s="10" t="s">
        <v>36</v>
      </c>
      <c r="C26" s="10">
        <v>12</v>
      </c>
      <c r="D26" s="10">
        <v>20</v>
      </c>
      <c r="E26" s="10">
        <f>C26*D26</f>
        <v>240</v>
      </c>
    </row>
    <row r="27" spans="1:5" ht="18.75">
      <c r="A27" s="15" t="s">
        <v>39</v>
      </c>
      <c r="B27" s="17" t="s">
        <v>36</v>
      </c>
      <c r="C27" s="17">
        <v>7</v>
      </c>
      <c r="D27" s="17">
        <v>10</v>
      </c>
      <c r="E27" s="17">
        <f>C27*D27</f>
        <v>70</v>
      </c>
    </row>
    <row r="28" spans="1:5" ht="18.75">
      <c r="A28" s="28" t="s">
        <v>83</v>
      </c>
      <c r="B28" s="19" t="s">
        <v>86</v>
      </c>
      <c r="C28" s="44">
        <v>5</v>
      </c>
      <c r="D28" s="44">
        <v>50</v>
      </c>
      <c r="E28" s="44">
        <f>C28*D28</f>
        <v>250</v>
      </c>
    </row>
    <row r="29" spans="1:5" ht="15">
      <c r="A29" s="19" t="s">
        <v>81</v>
      </c>
      <c r="B29" s="19" t="s">
        <v>86</v>
      </c>
      <c r="C29" s="44">
        <v>230</v>
      </c>
      <c r="D29" s="44">
        <v>30</v>
      </c>
      <c r="E29" s="44">
        <f>C29*D29</f>
        <v>6900</v>
      </c>
    </row>
    <row r="30" spans="1:5" ht="18.75">
      <c r="A30" s="15" t="s">
        <v>11</v>
      </c>
      <c r="B30" s="16" t="s">
        <v>12</v>
      </c>
      <c r="C30" s="16" t="s">
        <v>12</v>
      </c>
      <c r="D30" s="16" t="s">
        <v>12</v>
      </c>
      <c r="E30" s="17">
        <f>SUM(E15:E29)</f>
        <v>10188</v>
      </c>
    </row>
    <row r="31" spans="1:5" ht="18.75">
      <c r="A31" s="18" t="s">
        <v>50</v>
      </c>
      <c r="B31" s="19" t="s">
        <v>52</v>
      </c>
      <c r="C31" s="19"/>
      <c r="D31" s="19"/>
      <c r="E31" s="19">
        <f>1580*70/100</f>
        <v>1106</v>
      </c>
    </row>
    <row r="32" spans="1:5" ht="18.75">
      <c r="A32" s="18" t="s">
        <v>51</v>
      </c>
      <c r="B32" s="19"/>
      <c r="C32" s="19"/>
      <c r="D32" s="19"/>
      <c r="E32" s="20">
        <f>E30/E31</f>
        <v>9.211573236889693</v>
      </c>
    </row>
    <row r="33" spans="1:3" ht="15.75">
      <c r="A33" s="93" t="s">
        <v>14</v>
      </c>
      <c r="B33" s="93"/>
      <c r="C33" s="93"/>
    </row>
    <row r="34" spans="1:2" ht="18.75">
      <c r="A34" s="92" t="s">
        <v>2</v>
      </c>
      <c r="B34" s="92"/>
    </row>
    <row r="35" ht="19.5" thickBot="1">
      <c r="A35" s="14"/>
    </row>
    <row r="36" spans="1:5" ht="56.25">
      <c r="A36" s="84" t="s">
        <v>26</v>
      </c>
      <c r="B36" s="84" t="s">
        <v>27</v>
      </c>
      <c r="C36" s="84" t="s">
        <v>28</v>
      </c>
      <c r="D36" s="84" t="s">
        <v>29</v>
      </c>
      <c r="E36" s="4" t="s">
        <v>30</v>
      </c>
    </row>
    <row r="37" spans="1:14" ht="19.5" thickBot="1">
      <c r="A37" s="86"/>
      <c r="B37" s="86"/>
      <c r="C37" s="86"/>
      <c r="D37" s="86"/>
      <c r="E37" s="6" t="s">
        <v>31</v>
      </c>
      <c r="H37">
        <v>14000</v>
      </c>
      <c r="I37">
        <v>9034</v>
      </c>
      <c r="J37">
        <v>824</v>
      </c>
      <c r="K37">
        <v>1047</v>
      </c>
      <c r="L37">
        <v>591</v>
      </c>
      <c r="M37">
        <v>1398</v>
      </c>
      <c r="N37">
        <v>1106</v>
      </c>
    </row>
    <row r="38" spans="1:14" ht="19.5" thickBot="1">
      <c r="A38" s="7">
        <v>1</v>
      </c>
      <c r="B38" s="8">
        <v>2</v>
      </c>
      <c r="C38" s="8">
        <v>3</v>
      </c>
      <c r="D38" s="8">
        <v>4</v>
      </c>
      <c r="E38" s="16">
        <v>5</v>
      </c>
      <c r="I38" s="21">
        <f>I37/H37*100</f>
        <v>64.52857142857142</v>
      </c>
      <c r="J38" s="21">
        <f>J37/H37*100</f>
        <v>5.885714285714286</v>
      </c>
      <c r="K38" s="21">
        <f>K37/H37*100</f>
        <v>7.478571428571429</v>
      </c>
      <c r="L38" s="21">
        <f>L37/H37*100</f>
        <v>4.2214285714285715</v>
      </c>
      <c r="M38" s="21">
        <f>M37/H37*100</f>
        <v>9.985714285714286</v>
      </c>
      <c r="N38" s="21">
        <f>N37/H37*100</f>
        <v>7.9</v>
      </c>
    </row>
    <row r="39" spans="1:9" ht="19.5" thickBot="1">
      <c r="A39" s="9" t="s">
        <v>34</v>
      </c>
      <c r="B39" s="10" t="s">
        <v>36</v>
      </c>
      <c r="C39" s="8">
        <v>24</v>
      </c>
      <c r="D39" s="26">
        <v>200</v>
      </c>
      <c r="E39" s="29">
        <f>C39*D39</f>
        <v>4800</v>
      </c>
      <c r="F39" s="50">
        <v>38</v>
      </c>
      <c r="G39" s="19">
        <v>24</v>
      </c>
      <c r="H39" s="19">
        <v>70</v>
      </c>
      <c r="I39" s="19">
        <f aca="true" t="shared" si="1" ref="I39:I51">H39-F39-C15</f>
        <v>27</v>
      </c>
    </row>
    <row r="40" spans="1:9" ht="19.5" thickBot="1">
      <c r="A40" s="9" t="s">
        <v>40</v>
      </c>
      <c r="B40" s="10" t="s">
        <v>36</v>
      </c>
      <c r="C40" s="8">
        <v>14</v>
      </c>
      <c r="D40" s="26">
        <v>6</v>
      </c>
      <c r="E40" s="29">
        <f aca="true" t="shared" si="2" ref="E40:E54">C40*D40</f>
        <v>84</v>
      </c>
      <c r="F40" s="50">
        <v>21</v>
      </c>
      <c r="G40" s="19">
        <v>14</v>
      </c>
      <c r="H40" s="19">
        <v>30</v>
      </c>
      <c r="I40" s="19">
        <f t="shared" si="1"/>
        <v>7</v>
      </c>
    </row>
    <row r="41" spans="1:9" ht="19.5" thickBot="1">
      <c r="A41" s="9" t="s">
        <v>41</v>
      </c>
      <c r="B41" s="10" t="s">
        <v>36</v>
      </c>
      <c r="C41" s="8">
        <v>15</v>
      </c>
      <c r="D41" s="26">
        <v>20</v>
      </c>
      <c r="E41" s="29">
        <f t="shared" si="2"/>
        <v>300</v>
      </c>
      <c r="F41" s="50">
        <v>23</v>
      </c>
      <c r="G41" s="19">
        <v>15</v>
      </c>
      <c r="H41" s="19">
        <v>24</v>
      </c>
      <c r="I41" s="19">
        <f t="shared" si="1"/>
        <v>0</v>
      </c>
    </row>
    <row r="42" spans="1:9" ht="19.5" thickBot="1">
      <c r="A42" s="9" t="s">
        <v>42</v>
      </c>
      <c r="B42" s="10" t="s">
        <v>36</v>
      </c>
      <c r="C42" s="8">
        <v>7</v>
      </c>
      <c r="D42" s="26">
        <v>10</v>
      </c>
      <c r="E42" s="29">
        <f t="shared" si="2"/>
        <v>70</v>
      </c>
      <c r="F42" s="50">
        <v>10</v>
      </c>
      <c r="G42" s="19">
        <v>7</v>
      </c>
      <c r="H42" s="19">
        <v>108</v>
      </c>
      <c r="I42" s="19">
        <f t="shared" si="1"/>
        <v>86</v>
      </c>
    </row>
    <row r="43" spans="1:9" ht="19.5" thickBot="1">
      <c r="A43" s="9" t="s">
        <v>43</v>
      </c>
      <c r="B43" s="10" t="s">
        <v>36</v>
      </c>
      <c r="C43" s="8">
        <f>40*65/100</f>
        <v>26</v>
      </c>
      <c r="D43" s="26">
        <v>30</v>
      </c>
      <c r="E43" s="29">
        <f t="shared" si="2"/>
        <v>780</v>
      </c>
      <c r="F43" s="50">
        <v>40</v>
      </c>
      <c r="G43" s="19"/>
      <c r="H43" s="19">
        <v>60</v>
      </c>
      <c r="I43" s="19">
        <f t="shared" si="1"/>
        <v>18</v>
      </c>
    </row>
    <row r="44" spans="1:9" ht="19.5" thickBot="1">
      <c r="A44" s="9" t="s">
        <v>45</v>
      </c>
      <c r="B44" s="10" t="s">
        <v>36</v>
      </c>
      <c r="C44" s="8">
        <v>540</v>
      </c>
      <c r="D44" s="26">
        <v>1</v>
      </c>
      <c r="E44" s="29">
        <f t="shared" si="2"/>
        <v>540</v>
      </c>
      <c r="F44" s="50">
        <v>830</v>
      </c>
      <c r="G44" s="19"/>
      <c r="H44" s="19">
        <v>1500</v>
      </c>
      <c r="I44" s="19">
        <f t="shared" si="1"/>
        <v>550</v>
      </c>
    </row>
    <row r="45" spans="1:9" ht="19.5" thickBot="1">
      <c r="A45" s="9" t="s">
        <v>48</v>
      </c>
      <c r="B45" s="10" t="s">
        <v>36</v>
      </c>
      <c r="C45" s="8">
        <v>3</v>
      </c>
      <c r="D45" s="26">
        <v>100</v>
      </c>
      <c r="E45" s="29">
        <f t="shared" si="2"/>
        <v>300</v>
      </c>
      <c r="F45" s="50">
        <v>5</v>
      </c>
      <c r="G45" s="19"/>
      <c r="H45" s="19">
        <v>10</v>
      </c>
      <c r="I45" s="19">
        <f t="shared" si="1"/>
        <v>4</v>
      </c>
    </row>
    <row r="46" spans="1:9" ht="19.5" thickBot="1">
      <c r="A46" s="9" t="s">
        <v>49</v>
      </c>
      <c r="B46" s="10" t="s">
        <v>36</v>
      </c>
      <c r="C46" s="8">
        <v>227</v>
      </c>
      <c r="D46" s="26">
        <v>16</v>
      </c>
      <c r="E46" s="29">
        <f t="shared" si="2"/>
        <v>3632</v>
      </c>
      <c r="F46" s="50">
        <v>350</v>
      </c>
      <c r="G46" s="19"/>
      <c r="H46" s="19">
        <v>600</v>
      </c>
      <c r="I46" s="19">
        <f t="shared" si="1"/>
        <v>204</v>
      </c>
    </row>
    <row r="47" spans="1:9" ht="19.5" thickBot="1">
      <c r="A47" s="9" t="s">
        <v>46</v>
      </c>
      <c r="B47" s="10" t="s">
        <v>36</v>
      </c>
      <c r="C47" s="8">
        <f>20*65/100</f>
        <v>13</v>
      </c>
      <c r="D47" s="26">
        <v>40</v>
      </c>
      <c r="E47" s="29">
        <f t="shared" si="2"/>
        <v>520</v>
      </c>
      <c r="F47" s="50">
        <v>20</v>
      </c>
      <c r="G47" s="19"/>
      <c r="H47" s="19">
        <v>36</v>
      </c>
      <c r="I47" s="19">
        <f t="shared" si="1"/>
        <v>12</v>
      </c>
    </row>
    <row r="48" spans="1:9" ht="19.5" thickBot="1">
      <c r="A48" s="9" t="s">
        <v>47</v>
      </c>
      <c r="B48" s="10" t="s">
        <v>36</v>
      </c>
      <c r="C48" s="8">
        <v>3</v>
      </c>
      <c r="D48" s="26">
        <v>200</v>
      </c>
      <c r="E48" s="29">
        <f t="shared" si="2"/>
        <v>600</v>
      </c>
      <c r="F48" s="50">
        <v>5</v>
      </c>
      <c r="G48" s="19"/>
      <c r="H48" s="19">
        <v>9</v>
      </c>
      <c r="I48" s="19">
        <f t="shared" si="1"/>
        <v>3</v>
      </c>
    </row>
    <row r="49" spans="1:9" ht="19.5" thickBot="1">
      <c r="A49" s="9" t="s">
        <v>37</v>
      </c>
      <c r="B49" s="10" t="s">
        <v>38</v>
      </c>
      <c r="C49" s="8">
        <v>10</v>
      </c>
      <c r="D49" s="26">
        <v>100</v>
      </c>
      <c r="E49" s="29">
        <f t="shared" si="2"/>
        <v>1000</v>
      </c>
      <c r="F49" s="50">
        <v>16</v>
      </c>
      <c r="G49" s="19"/>
      <c r="H49" s="19">
        <v>30</v>
      </c>
      <c r="I49" s="19">
        <f t="shared" si="1"/>
        <v>12</v>
      </c>
    </row>
    <row r="50" spans="1:9" ht="19.5" thickBot="1">
      <c r="A50" s="9" t="s">
        <v>44</v>
      </c>
      <c r="B50" s="10" t="s">
        <v>36</v>
      </c>
      <c r="C50" s="8">
        <v>20</v>
      </c>
      <c r="D50" s="26">
        <v>20</v>
      </c>
      <c r="E50" s="29">
        <f t="shared" si="2"/>
        <v>400</v>
      </c>
      <c r="F50" s="50">
        <v>30</v>
      </c>
      <c r="G50" s="19"/>
      <c r="H50" s="19">
        <v>48</v>
      </c>
      <c r="I50" s="19">
        <f t="shared" si="1"/>
        <v>6</v>
      </c>
    </row>
    <row r="51" spans="1:9" ht="19.5" thickBot="1">
      <c r="A51" s="9" t="s">
        <v>39</v>
      </c>
      <c r="B51" s="10" t="s">
        <v>36</v>
      </c>
      <c r="C51" s="8">
        <v>36</v>
      </c>
      <c r="D51" s="26">
        <v>10</v>
      </c>
      <c r="E51" s="29">
        <f t="shared" si="2"/>
        <v>360</v>
      </c>
      <c r="F51" s="50">
        <v>55</v>
      </c>
      <c r="G51" s="19"/>
      <c r="H51" s="19">
        <v>100</v>
      </c>
      <c r="I51" s="19">
        <f t="shared" si="1"/>
        <v>38</v>
      </c>
    </row>
    <row r="52" spans="1:5" ht="19.5" thickBot="1">
      <c r="A52" s="43" t="s">
        <v>84</v>
      </c>
      <c r="B52" s="28" t="s">
        <v>82</v>
      </c>
      <c r="C52" s="45">
        <v>41</v>
      </c>
      <c r="D52" s="48">
        <v>50</v>
      </c>
      <c r="E52" s="29">
        <f>C52*D52</f>
        <v>2050</v>
      </c>
    </row>
    <row r="53" spans="1:5" ht="19.5" thickBot="1">
      <c r="A53" s="43" t="s">
        <v>85</v>
      </c>
      <c r="B53" s="19" t="s">
        <v>82</v>
      </c>
      <c r="C53" s="46">
        <v>1867</v>
      </c>
      <c r="D53" s="49">
        <v>30</v>
      </c>
      <c r="E53" s="47">
        <f>C53*D53</f>
        <v>56010</v>
      </c>
    </row>
    <row r="54" spans="1:5" ht="19.5" thickBot="1">
      <c r="A54" s="7"/>
      <c r="B54" s="8"/>
      <c r="C54" s="8"/>
      <c r="D54" s="22"/>
      <c r="E54" s="29">
        <f t="shared" si="2"/>
        <v>0</v>
      </c>
    </row>
    <row r="55" spans="1:5" ht="19.5" thickBot="1">
      <c r="A55" s="7"/>
      <c r="B55" s="8"/>
      <c r="C55" s="8"/>
      <c r="D55" s="22"/>
      <c r="E55" s="29"/>
    </row>
    <row r="56" spans="1:5" ht="19.5" thickBot="1">
      <c r="A56" s="7" t="s">
        <v>53</v>
      </c>
      <c r="B56" s="8"/>
      <c r="C56" s="8"/>
      <c r="D56" s="8"/>
      <c r="E56" s="8">
        <f>SUM(E39:E55)</f>
        <v>71446</v>
      </c>
    </row>
    <row r="57" spans="1:5" ht="19.5" thickBot="1">
      <c r="A57" s="7" t="s">
        <v>54</v>
      </c>
      <c r="B57" s="8"/>
      <c r="C57" s="8"/>
      <c r="D57" s="8"/>
      <c r="E57" s="8">
        <v>9034</v>
      </c>
    </row>
    <row r="58" spans="1:5" ht="19.5" thickBot="1">
      <c r="A58" s="9" t="s">
        <v>55</v>
      </c>
      <c r="B58" s="10"/>
      <c r="C58" s="10"/>
      <c r="D58" s="10"/>
      <c r="E58" s="12">
        <f>E56/E57</f>
        <v>7.90856763338499</v>
      </c>
    </row>
    <row r="59" spans="1:5" ht="19.5" thickBot="1">
      <c r="A59" s="9"/>
      <c r="B59" s="10"/>
      <c r="C59" s="10"/>
      <c r="D59" s="10"/>
      <c r="E59" s="10"/>
    </row>
    <row r="60" spans="1:5" ht="19.5" thickBot="1">
      <c r="A60" s="9" t="s">
        <v>10</v>
      </c>
      <c r="B60" s="10"/>
      <c r="C60" s="10"/>
      <c r="D60" s="10"/>
      <c r="E60" s="10"/>
    </row>
    <row r="61" spans="1:5" ht="19.5" thickBot="1">
      <c r="A61" s="9"/>
      <c r="B61" s="8" t="s">
        <v>12</v>
      </c>
      <c r="C61" s="8" t="s">
        <v>12</v>
      </c>
      <c r="D61" s="8" t="s">
        <v>12</v>
      </c>
      <c r="E61" s="10"/>
    </row>
    <row r="64" spans="1:3" ht="15.75">
      <c r="A64" s="93" t="s">
        <v>17</v>
      </c>
      <c r="B64" s="93"/>
      <c r="C64" s="93"/>
    </row>
    <row r="65" spans="1:2" ht="18.75">
      <c r="A65" s="92" t="s">
        <v>2</v>
      </c>
      <c r="B65" s="92"/>
    </row>
    <row r="66" ht="19.5" thickBot="1">
      <c r="A66" s="14"/>
    </row>
    <row r="67" spans="1:5" ht="56.25">
      <c r="A67" s="84" t="s">
        <v>26</v>
      </c>
      <c r="B67" s="84" t="s">
        <v>27</v>
      </c>
      <c r="C67" s="84" t="s">
        <v>28</v>
      </c>
      <c r="D67" s="84" t="s">
        <v>29</v>
      </c>
      <c r="E67" s="4" t="s">
        <v>30</v>
      </c>
    </row>
    <row r="68" spans="1:5" ht="19.5" thickBot="1">
      <c r="A68" s="86"/>
      <c r="B68" s="86"/>
      <c r="C68" s="86"/>
      <c r="D68" s="86"/>
      <c r="E68" s="6" t="s">
        <v>31</v>
      </c>
    </row>
    <row r="69" spans="1:5" ht="19.5" thickBot="1">
      <c r="A69" s="7">
        <v>1</v>
      </c>
      <c r="B69" s="8">
        <v>2</v>
      </c>
      <c r="C69" s="8">
        <v>3</v>
      </c>
      <c r="D69" s="8">
        <v>4</v>
      </c>
      <c r="E69" s="16">
        <v>5</v>
      </c>
    </row>
    <row r="70" spans="1:5" ht="19.5" thickBot="1">
      <c r="A70" s="9" t="s">
        <v>34</v>
      </c>
      <c r="B70" s="10" t="s">
        <v>36</v>
      </c>
      <c r="C70" s="23">
        <f>38*J38/100</f>
        <v>2.2365714285714287</v>
      </c>
      <c r="D70" s="26">
        <v>200</v>
      </c>
      <c r="E70" s="27">
        <v>400</v>
      </c>
    </row>
    <row r="71" spans="1:5" ht="19.5" thickBot="1">
      <c r="A71" s="9" t="s">
        <v>40</v>
      </c>
      <c r="B71" s="10" t="s">
        <v>36</v>
      </c>
      <c r="C71" s="23">
        <f>21*6/100</f>
        <v>1.26</v>
      </c>
      <c r="D71" s="26">
        <v>6</v>
      </c>
      <c r="E71" s="27">
        <v>6</v>
      </c>
    </row>
    <row r="72" spans="1:5" ht="19.5" thickBot="1">
      <c r="A72" s="9" t="s">
        <v>41</v>
      </c>
      <c r="B72" s="10" t="s">
        <v>36</v>
      </c>
      <c r="C72" s="23">
        <f>23*6/100</f>
        <v>1.38</v>
      </c>
      <c r="D72" s="26">
        <v>20</v>
      </c>
      <c r="E72" s="27">
        <v>20</v>
      </c>
    </row>
    <row r="73" spans="1:5" ht="19.5" thickBot="1">
      <c r="A73" s="9" t="s">
        <v>42</v>
      </c>
      <c r="B73" s="10" t="s">
        <v>36</v>
      </c>
      <c r="C73" s="23">
        <f>10*6/100</f>
        <v>0.6</v>
      </c>
      <c r="D73" s="26">
        <v>10</v>
      </c>
      <c r="E73" s="27">
        <v>10</v>
      </c>
    </row>
    <row r="74" spans="1:5" ht="19.5" thickBot="1">
      <c r="A74" s="9" t="s">
        <v>43</v>
      </c>
      <c r="B74" s="10" t="s">
        <v>36</v>
      </c>
      <c r="C74" s="23">
        <f>40*0.06</f>
        <v>2.4</v>
      </c>
      <c r="D74" s="26">
        <v>30</v>
      </c>
      <c r="E74" s="27">
        <v>60</v>
      </c>
    </row>
    <row r="75" spans="1:7" ht="19.5" thickBot="1">
      <c r="A75" s="9" t="s">
        <v>45</v>
      </c>
      <c r="B75" s="10" t="s">
        <v>36</v>
      </c>
      <c r="C75" s="23">
        <f>830*G75</f>
        <v>49.8</v>
      </c>
      <c r="D75" s="26">
        <v>1</v>
      </c>
      <c r="E75" s="27">
        <v>50</v>
      </c>
      <c r="G75">
        <v>0.06</v>
      </c>
    </row>
    <row r="76" spans="1:5" ht="19.5" thickBot="1">
      <c r="A76" s="9" t="s">
        <v>49</v>
      </c>
      <c r="B76" s="10" t="s">
        <v>36</v>
      </c>
      <c r="C76" s="23">
        <f>350*G75</f>
        <v>21</v>
      </c>
      <c r="D76" s="26">
        <v>16</v>
      </c>
      <c r="E76" s="27">
        <f>16*21</f>
        <v>336</v>
      </c>
    </row>
    <row r="77" spans="1:5" ht="19.5" thickBot="1">
      <c r="A77" s="9" t="s">
        <v>46</v>
      </c>
      <c r="B77" s="10" t="s">
        <v>36</v>
      </c>
      <c r="C77" s="23">
        <f>20*G75</f>
        <v>1.2</v>
      </c>
      <c r="D77" s="26">
        <v>40</v>
      </c>
      <c r="E77" s="27">
        <v>40</v>
      </c>
    </row>
    <row r="78" spans="1:5" ht="19.5" thickBot="1">
      <c r="A78" s="9" t="s">
        <v>37</v>
      </c>
      <c r="B78" s="10" t="s">
        <v>38</v>
      </c>
      <c r="C78" s="23">
        <f>16*G75</f>
        <v>0.96</v>
      </c>
      <c r="D78" s="26">
        <v>100</v>
      </c>
      <c r="E78" s="27">
        <v>100</v>
      </c>
    </row>
    <row r="79" spans="1:5" ht="19.5" thickBot="1">
      <c r="A79" s="9" t="s">
        <v>44</v>
      </c>
      <c r="B79" s="10" t="s">
        <v>36</v>
      </c>
      <c r="C79" s="23">
        <f>30*G75</f>
        <v>1.7999999999999998</v>
      </c>
      <c r="D79" s="26">
        <v>20</v>
      </c>
      <c r="E79" s="27">
        <v>40</v>
      </c>
    </row>
    <row r="80" spans="1:5" ht="19.5" thickBot="1">
      <c r="A80" s="9" t="s">
        <v>39</v>
      </c>
      <c r="B80" s="10" t="s">
        <v>36</v>
      </c>
      <c r="C80" s="23">
        <f>55*G75</f>
        <v>3.3</v>
      </c>
      <c r="D80" s="26">
        <v>10</v>
      </c>
      <c r="E80" s="27">
        <v>30</v>
      </c>
    </row>
    <row r="81" spans="1:5" ht="19.5" thickBot="1">
      <c r="A81" s="43" t="s">
        <v>84</v>
      </c>
      <c r="B81" s="8" t="s">
        <v>86</v>
      </c>
      <c r="C81" s="8">
        <v>3.8</v>
      </c>
      <c r="D81" s="22">
        <v>50</v>
      </c>
      <c r="E81" s="29">
        <f>C81*D81</f>
        <v>190</v>
      </c>
    </row>
    <row r="82" spans="1:5" ht="19.5" thickBot="1">
      <c r="A82" s="43" t="s">
        <v>85</v>
      </c>
      <c r="B82" s="8" t="s">
        <v>86</v>
      </c>
      <c r="C82" s="8">
        <v>172</v>
      </c>
      <c r="D82" s="22">
        <v>30</v>
      </c>
      <c r="E82" s="29">
        <f>C82*D82</f>
        <v>5160</v>
      </c>
    </row>
    <row r="83" spans="1:5" ht="18.75">
      <c r="A83" s="15" t="s">
        <v>11</v>
      </c>
      <c r="B83" s="16" t="s">
        <v>12</v>
      </c>
      <c r="C83" s="16" t="s">
        <v>12</v>
      </c>
      <c r="D83" s="16" t="s">
        <v>12</v>
      </c>
      <c r="E83" s="25">
        <f>SUM(E70:E82)</f>
        <v>6442</v>
      </c>
    </row>
    <row r="84" spans="1:9" ht="18.75">
      <c r="A84" s="18" t="s">
        <v>56</v>
      </c>
      <c r="B84" s="19"/>
      <c r="C84" s="19"/>
      <c r="D84" s="19"/>
      <c r="E84" s="19">
        <v>824</v>
      </c>
      <c r="I84" s="38"/>
    </row>
    <row r="85" spans="1:5" ht="18.75">
      <c r="A85" s="18" t="s">
        <v>57</v>
      </c>
      <c r="B85" s="19"/>
      <c r="C85" s="19"/>
      <c r="D85" s="19"/>
      <c r="E85" s="20">
        <f>E83/E84</f>
        <v>7.817961165048544</v>
      </c>
    </row>
    <row r="87" spans="1:3" ht="15.75">
      <c r="A87" s="93" t="s">
        <v>59</v>
      </c>
      <c r="B87" s="93"/>
      <c r="C87" s="93"/>
    </row>
    <row r="88" spans="1:2" ht="18.75">
      <c r="A88" s="92" t="s">
        <v>2</v>
      </c>
      <c r="B88" s="92"/>
    </row>
    <row r="89" ht="19.5" thickBot="1">
      <c r="A89" s="14"/>
    </row>
    <row r="90" spans="1:5" ht="56.25">
      <c r="A90" s="84" t="s">
        <v>26</v>
      </c>
      <c r="B90" s="84" t="s">
        <v>27</v>
      </c>
      <c r="C90" s="84" t="s">
        <v>28</v>
      </c>
      <c r="D90" s="84" t="s">
        <v>29</v>
      </c>
      <c r="E90" s="4" t="s">
        <v>30</v>
      </c>
    </row>
    <row r="91" spans="1:5" ht="19.5" thickBot="1">
      <c r="A91" s="86"/>
      <c r="B91" s="86"/>
      <c r="C91" s="86"/>
      <c r="D91" s="85"/>
      <c r="E91" s="6" t="s">
        <v>31</v>
      </c>
    </row>
    <row r="92" spans="1:5" ht="19.5" thickBot="1">
      <c r="A92" s="7">
        <v>1</v>
      </c>
      <c r="B92" s="8">
        <v>2</v>
      </c>
      <c r="C92" s="22">
        <v>3</v>
      </c>
      <c r="D92" s="29">
        <v>4</v>
      </c>
      <c r="E92" s="16">
        <v>5</v>
      </c>
    </row>
    <row r="93" spans="1:5" ht="19.5" thickBot="1">
      <c r="A93" s="9" t="s">
        <v>34</v>
      </c>
      <c r="B93" s="10" t="s">
        <v>36</v>
      </c>
      <c r="C93" s="30">
        <v>3</v>
      </c>
      <c r="D93" s="28">
        <v>200</v>
      </c>
      <c r="E93" s="31">
        <f>C93*D93</f>
        <v>600</v>
      </c>
    </row>
    <row r="94" spans="1:5" ht="19.5" thickBot="1">
      <c r="A94" s="9" t="s">
        <v>40</v>
      </c>
      <c r="B94" s="10" t="s">
        <v>36</v>
      </c>
      <c r="C94" s="30">
        <v>2</v>
      </c>
      <c r="D94" s="28">
        <v>6</v>
      </c>
      <c r="E94" s="31">
        <f aca="true" t="shared" si="3" ref="E94:E107">C94*D94</f>
        <v>12</v>
      </c>
    </row>
    <row r="95" spans="1:5" ht="19.5" thickBot="1">
      <c r="A95" s="9" t="s">
        <v>41</v>
      </c>
      <c r="B95" s="10" t="s">
        <v>36</v>
      </c>
      <c r="C95" s="30">
        <v>2</v>
      </c>
      <c r="D95" s="28">
        <v>20</v>
      </c>
      <c r="E95" s="31">
        <f t="shared" si="3"/>
        <v>40</v>
      </c>
    </row>
    <row r="96" spans="1:5" ht="19.5" thickBot="1">
      <c r="A96" s="9" t="s">
        <v>42</v>
      </c>
      <c r="B96" s="10" t="s">
        <v>36</v>
      </c>
      <c r="C96" s="30">
        <v>1</v>
      </c>
      <c r="D96" s="28">
        <v>10</v>
      </c>
      <c r="E96" s="31">
        <f t="shared" si="3"/>
        <v>10</v>
      </c>
    </row>
    <row r="97" spans="1:5" ht="19.5" thickBot="1">
      <c r="A97" s="9" t="s">
        <v>43</v>
      </c>
      <c r="B97" s="10" t="s">
        <v>36</v>
      </c>
      <c r="C97" s="30">
        <v>3</v>
      </c>
      <c r="D97" s="28">
        <v>30</v>
      </c>
      <c r="E97" s="31">
        <f t="shared" si="3"/>
        <v>90</v>
      </c>
    </row>
    <row r="98" spans="1:5" ht="19.5" thickBot="1">
      <c r="A98" s="9" t="s">
        <v>45</v>
      </c>
      <c r="B98" s="10" t="s">
        <v>36</v>
      </c>
      <c r="C98" s="30">
        <v>58</v>
      </c>
      <c r="D98" s="28">
        <v>1</v>
      </c>
      <c r="E98" s="31">
        <f t="shared" si="3"/>
        <v>58</v>
      </c>
    </row>
    <row r="99" spans="1:5" ht="19.5" thickBot="1">
      <c r="A99" s="9" t="s">
        <v>48</v>
      </c>
      <c r="B99" s="10" t="s">
        <v>36</v>
      </c>
      <c r="C99" s="30">
        <v>0</v>
      </c>
      <c r="D99" s="28">
        <v>100</v>
      </c>
      <c r="E99" s="31">
        <f t="shared" si="3"/>
        <v>0</v>
      </c>
    </row>
    <row r="100" spans="1:5" ht="19.5" thickBot="1">
      <c r="A100" s="9" t="s">
        <v>49</v>
      </c>
      <c r="B100" s="10" t="s">
        <v>36</v>
      </c>
      <c r="C100" s="30">
        <v>25</v>
      </c>
      <c r="D100" s="28">
        <v>16</v>
      </c>
      <c r="E100" s="31">
        <f t="shared" si="3"/>
        <v>400</v>
      </c>
    </row>
    <row r="101" spans="1:5" ht="19.5" thickBot="1">
      <c r="A101" s="9" t="s">
        <v>46</v>
      </c>
      <c r="B101" s="10" t="s">
        <v>36</v>
      </c>
      <c r="C101" s="30">
        <v>1</v>
      </c>
      <c r="D101" s="28">
        <v>40</v>
      </c>
      <c r="E101" s="31">
        <f t="shared" si="3"/>
        <v>40</v>
      </c>
    </row>
    <row r="102" spans="1:5" ht="19.5" thickBot="1">
      <c r="A102" s="9" t="s">
        <v>47</v>
      </c>
      <c r="B102" s="10" t="s">
        <v>36</v>
      </c>
      <c r="C102" s="30">
        <v>0</v>
      </c>
      <c r="D102" s="28">
        <v>200</v>
      </c>
      <c r="E102" s="31">
        <f t="shared" si="3"/>
        <v>0</v>
      </c>
    </row>
    <row r="103" spans="1:5" ht="19.5" thickBot="1">
      <c r="A103" s="9" t="s">
        <v>37</v>
      </c>
      <c r="B103" s="10" t="s">
        <v>38</v>
      </c>
      <c r="C103" s="30">
        <v>1</v>
      </c>
      <c r="D103" s="28">
        <v>100</v>
      </c>
      <c r="E103" s="31">
        <f t="shared" si="3"/>
        <v>100</v>
      </c>
    </row>
    <row r="104" spans="1:5" ht="19.5" thickBot="1">
      <c r="A104" s="9" t="s">
        <v>44</v>
      </c>
      <c r="B104" s="10" t="s">
        <v>36</v>
      </c>
      <c r="C104" s="30">
        <v>2</v>
      </c>
      <c r="D104" s="28">
        <v>20</v>
      </c>
      <c r="E104" s="31">
        <f t="shared" si="3"/>
        <v>40</v>
      </c>
    </row>
    <row r="105" spans="1:5" ht="19.5" thickBot="1">
      <c r="A105" s="9" t="s">
        <v>39</v>
      </c>
      <c r="B105" s="10" t="s">
        <v>36</v>
      </c>
      <c r="C105" s="30">
        <v>4</v>
      </c>
      <c r="D105" s="28">
        <v>10</v>
      </c>
      <c r="E105" s="31">
        <f t="shared" si="3"/>
        <v>40</v>
      </c>
    </row>
    <row r="106" spans="1:5" ht="19.5" thickBot="1">
      <c r="A106" s="43" t="s">
        <v>84</v>
      </c>
      <c r="B106" s="26" t="s">
        <v>86</v>
      </c>
      <c r="C106" s="19">
        <v>5</v>
      </c>
      <c r="D106" s="28">
        <v>50</v>
      </c>
      <c r="E106" s="31">
        <f t="shared" si="3"/>
        <v>250</v>
      </c>
    </row>
    <row r="107" spans="1:5" ht="19.5" thickBot="1">
      <c r="A107" s="43" t="s">
        <v>85</v>
      </c>
      <c r="B107" s="26" t="s">
        <v>86</v>
      </c>
      <c r="C107" s="19">
        <v>230</v>
      </c>
      <c r="D107" s="28">
        <v>30</v>
      </c>
      <c r="E107" s="31">
        <f t="shared" si="3"/>
        <v>6900</v>
      </c>
    </row>
    <row r="108" spans="1:5" ht="19.5" thickBot="1">
      <c r="A108" s="9"/>
      <c r="B108" s="26"/>
      <c r="C108" s="19"/>
      <c r="D108" s="28"/>
      <c r="E108" s="31"/>
    </row>
    <row r="109" spans="1:5" ht="19.5" thickBot="1">
      <c r="A109" s="9" t="s">
        <v>53</v>
      </c>
      <c r="B109" s="26"/>
      <c r="C109" s="19"/>
      <c r="D109" s="28"/>
      <c r="E109" s="31">
        <f>SUM(E93:E108)</f>
        <v>8580</v>
      </c>
    </row>
    <row r="110" spans="1:5" ht="19.5" thickBot="1">
      <c r="A110" s="9" t="s">
        <v>58</v>
      </c>
      <c r="B110" s="26"/>
      <c r="C110" s="19"/>
      <c r="D110" s="28"/>
      <c r="E110" s="31">
        <v>1047</v>
      </c>
    </row>
    <row r="111" spans="1:5" ht="19.5" thickBot="1">
      <c r="A111" s="9" t="s">
        <v>57</v>
      </c>
      <c r="B111" s="26"/>
      <c r="C111" s="19"/>
      <c r="D111" s="28"/>
      <c r="E111" s="32">
        <f>E109/E110</f>
        <v>8.194842406876791</v>
      </c>
    </row>
    <row r="112" spans="1:5" ht="19.5" thickBot="1">
      <c r="A112" s="7"/>
      <c r="B112" s="22"/>
      <c r="C112" s="29"/>
      <c r="D112" s="29"/>
      <c r="E112" s="19"/>
    </row>
    <row r="114" spans="1:3" ht="15.75">
      <c r="A114" s="93" t="s">
        <v>60</v>
      </c>
      <c r="B114" s="93"/>
      <c r="C114" s="93"/>
    </row>
    <row r="115" spans="1:2" ht="18.75">
      <c r="A115" s="94" t="s">
        <v>2</v>
      </c>
      <c r="B115" s="94"/>
    </row>
    <row r="116" ht="19.5" thickBot="1">
      <c r="A116" s="14"/>
    </row>
    <row r="117" spans="1:5" ht="56.25">
      <c r="A117" s="84" t="s">
        <v>26</v>
      </c>
      <c r="B117" s="84" t="s">
        <v>27</v>
      </c>
      <c r="C117" s="84" t="s">
        <v>28</v>
      </c>
      <c r="D117" s="84" t="s">
        <v>29</v>
      </c>
      <c r="E117" s="4" t="s">
        <v>30</v>
      </c>
    </row>
    <row r="118" spans="1:5" ht="19.5" thickBot="1">
      <c r="A118" s="86"/>
      <c r="B118" s="86"/>
      <c r="C118" s="86"/>
      <c r="D118" s="86"/>
      <c r="E118" s="6" t="s">
        <v>31</v>
      </c>
    </row>
    <row r="119" spans="1:5" ht="19.5" thickBot="1">
      <c r="A119" s="7">
        <v>1</v>
      </c>
      <c r="B119" s="8">
        <v>2</v>
      </c>
      <c r="C119" s="8">
        <v>3</v>
      </c>
      <c r="D119" s="8">
        <v>4</v>
      </c>
      <c r="E119" s="8">
        <v>5</v>
      </c>
    </row>
    <row r="120" spans="1:5" ht="19.5" thickBot="1">
      <c r="A120" s="9" t="s">
        <v>34</v>
      </c>
      <c r="B120" s="10" t="s">
        <v>36</v>
      </c>
      <c r="C120" s="19">
        <v>2</v>
      </c>
      <c r="D120" s="28">
        <v>200</v>
      </c>
      <c r="E120" s="31">
        <f>C120*D120</f>
        <v>400</v>
      </c>
    </row>
    <row r="121" spans="1:5" ht="19.5" thickBot="1">
      <c r="A121" s="9" t="s">
        <v>40</v>
      </c>
      <c r="B121" s="10" t="s">
        <v>36</v>
      </c>
      <c r="C121" s="19">
        <v>1</v>
      </c>
      <c r="D121" s="28">
        <v>6</v>
      </c>
      <c r="E121" s="31">
        <f aca="true" t="shared" si="4" ref="E121:E134">C121*D121</f>
        <v>6</v>
      </c>
    </row>
    <row r="122" spans="1:5" ht="19.5" thickBot="1">
      <c r="A122" s="9" t="s">
        <v>41</v>
      </c>
      <c r="B122" s="10" t="s">
        <v>36</v>
      </c>
      <c r="C122" s="19">
        <v>1</v>
      </c>
      <c r="D122" s="28">
        <v>20</v>
      </c>
      <c r="E122" s="31">
        <f t="shared" si="4"/>
        <v>20</v>
      </c>
    </row>
    <row r="123" spans="1:5" ht="19.5" thickBot="1">
      <c r="A123" s="9" t="s">
        <v>42</v>
      </c>
      <c r="B123" s="10" t="s">
        <v>36</v>
      </c>
      <c r="C123" s="19">
        <v>0</v>
      </c>
      <c r="D123" s="28">
        <v>10</v>
      </c>
      <c r="E123" s="31">
        <f t="shared" si="4"/>
        <v>0</v>
      </c>
    </row>
    <row r="124" spans="1:5" ht="19.5" thickBot="1">
      <c r="A124" s="9" t="s">
        <v>43</v>
      </c>
      <c r="B124" s="10" t="s">
        <v>36</v>
      </c>
      <c r="C124" s="19">
        <v>2</v>
      </c>
      <c r="D124" s="28">
        <v>30</v>
      </c>
      <c r="E124" s="31">
        <f t="shared" si="4"/>
        <v>60</v>
      </c>
    </row>
    <row r="125" spans="1:5" ht="19.5" thickBot="1">
      <c r="A125" s="9" t="s">
        <v>45</v>
      </c>
      <c r="B125" s="10" t="s">
        <v>36</v>
      </c>
      <c r="C125" s="19">
        <v>33</v>
      </c>
      <c r="D125" s="28">
        <v>1</v>
      </c>
      <c r="E125" s="31">
        <f t="shared" si="4"/>
        <v>33</v>
      </c>
    </row>
    <row r="126" spans="1:5" ht="19.5" thickBot="1">
      <c r="A126" s="9" t="s">
        <v>48</v>
      </c>
      <c r="B126" s="10" t="s">
        <v>36</v>
      </c>
      <c r="C126" s="19">
        <v>0</v>
      </c>
      <c r="D126" s="28">
        <v>100</v>
      </c>
      <c r="E126" s="31">
        <f t="shared" si="4"/>
        <v>0</v>
      </c>
    </row>
    <row r="127" spans="1:5" ht="19.5" thickBot="1">
      <c r="A127" s="9" t="s">
        <v>49</v>
      </c>
      <c r="B127" s="10" t="s">
        <v>36</v>
      </c>
      <c r="C127" s="19">
        <f>0.04*350</f>
        <v>14</v>
      </c>
      <c r="D127" s="28">
        <v>16</v>
      </c>
      <c r="E127" s="31">
        <f t="shared" si="4"/>
        <v>224</v>
      </c>
    </row>
    <row r="128" spans="1:5" ht="19.5" thickBot="1">
      <c r="A128" s="9" t="s">
        <v>46</v>
      </c>
      <c r="B128" s="10" t="s">
        <v>36</v>
      </c>
      <c r="C128" s="19">
        <v>0</v>
      </c>
      <c r="D128" s="28">
        <v>40</v>
      </c>
      <c r="E128" s="31">
        <f t="shared" si="4"/>
        <v>0</v>
      </c>
    </row>
    <row r="129" spans="1:5" ht="19.5" thickBot="1">
      <c r="A129" s="9" t="s">
        <v>47</v>
      </c>
      <c r="B129" s="10" t="s">
        <v>36</v>
      </c>
      <c r="C129" s="19">
        <v>0</v>
      </c>
      <c r="D129" s="28">
        <v>200</v>
      </c>
      <c r="E129" s="31">
        <f t="shared" si="4"/>
        <v>0</v>
      </c>
    </row>
    <row r="130" spans="1:5" ht="19.5" thickBot="1">
      <c r="A130" s="9" t="s">
        <v>37</v>
      </c>
      <c r="B130" s="10" t="s">
        <v>38</v>
      </c>
      <c r="C130" s="19">
        <v>1</v>
      </c>
      <c r="D130" s="28">
        <v>100</v>
      </c>
      <c r="E130" s="31">
        <f t="shared" si="4"/>
        <v>100</v>
      </c>
    </row>
    <row r="131" spans="1:5" ht="19.5" thickBot="1">
      <c r="A131" s="9" t="s">
        <v>44</v>
      </c>
      <c r="B131" s="10" t="s">
        <v>36</v>
      </c>
      <c r="C131" s="19">
        <v>1</v>
      </c>
      <c r="D131" s="28">
        <v>20</v>
      </c>
      <c r="E131" s="31">
        <f t="shared" si="4"/>
        <v>20</v>
      </c>
    </row>
    <row r="132" spans="1:5" ht="18.75">
      <c r="A132" s="15" t="s">
        <v>39</v>
      </c>
      <c r="B132" s="17" t="s">
        <v>36</v>
      </c>
      <c r="C132" s="19">
        <v>2</v>
      </c>
      <c r="D132" s="33">
        <v>10</v>
      </c>
      <c r="E132" s="31">
        <f t="shared" si="4"/>
        <v>20</v>
      </c>
    </row>
    <row r="133" spans="1:5" ht="19.5" thickBot="1">
      <c r="A133" s="43" t="s">
        <v>84</v>
      </c>
      <c r="B133" s="42" t="s">
        <v>86</v>
      </c>
      <c r="C133" s="19">
        <f>115*2.2/100</f>
        <v>2.5300000000000002</v>
      </c>
      <c r="D133" s="33">
        <v>50</v>
      </c>
      <c r="E133" s="31">
        <f t="shared" si="4"/>
        <v>126.50000000000001</v>
      </c>
    </row>
    <row r="134" spans="1:5" ht="19.5" thickBot="1">
      <c r="A134" s="43" t="s">
        <v>85</v>
      </c>
      <c r="B134" s="19" t="s">
        <v>86</v>
      </c>
      <c r="C134" s="19">
        <v>115</v>
      </c>
      <c r="D134" s="44">
        <v>30</v>
      </c>
      <c r="E134" s="31">
        <f t="shared" si="4"/>
        <v>3450</v>
      </c>
    </row>
    <row r="135" spans="1:5" ht="15">
      <c r="A135" s="19" t="s">
        <v>53</v>
      </c>
      <c r="B135" s="19"/>
      <c r="C135" s="19"/>
      <c r="D135" s="19"/>
      <c r="E135" s="19">
        <f>SUM(E120:E134)</f>
        <v>4459.5</v>
      </c>
    </row>
    <row r="136" spans="1:5" ht="15">
      <c r="A136" s="19" t="s">
        <v>58</v>
      </c>
      <c r="B136" s="19"/>
      <c r="C136" s="19"/>
      <c r="D136" s="19"/>
      <c r="E136" s="19">
        <v>591</v>
      </c>
    </row>
    <row r="137" spans="1:5" ht="15">
      <c r="A137" s="19" t="s">
        <v>61</v>
      </c>
      <c r="B137" s="19"/>
      <c r="C137" s="19"/>
      <c r="D137" s="19"/>
      <c r="E137" s="20">
        <f>E135/E136</f>
        <v>7.5456852791878175</v>
      </c>
    </row>
    <row r="138" spans="1:5" ht="15">
      <c r="A138" s="19"/>
      <c r="B138" s="19"/>
      <c r="C138" s="19"/>
      <c r="D138" s="19"/>
      <c r="E138" s="19"/>
    </row>
    <row r="139" spans="1:5" ht="15">
      <c r="A139" s="19"/>
      <c r="B139" s="19"/>
      <c r="C139" s="19"/>
      <c r="D139" s="19"/>
      <c r="E139" s="19"/>
    </row>
    <row r="140" spans="1:3" ht="15.75">
      <c r="A140" s="93" t="s">
        <v>20</v>
      </c>
      <c r="B140" s="93"/>
      <c r="C140" s="93"/>
    </row>
    <row r="141" spans="1:2" ht="18.75">
      <c r="A141" s="94" t="s">
        <v>2</v>
      </c>
      <c r="B141" s="94"/>
    </row>
    <row r="142" ht="19.5" thickBot="1">
      <c r="A142" s="14"/>
    </row>
    <row r="143" spans="1:5" ht="56.25">
      <c r="A143" s="84" t="s">
        <v>26</v>
      </c>
      <c r="B143" s="84" t="s">
        <v>27</v>
      </c>
      <c r="C143" s="84" t="s">
        <v>28</v>
      </c>
      <c r="D143" s="84" t="s">
        <v>29</v>
      </c>
      <c r="E143" s="4" t="s">
        <v>30</v>
      </c>
    </row>
    <row r="144" spans="1:5" ht="19.5" thickBot="1">
      <c r="A144" s="86"/>
      <c r="B144" s="86"/>
      <c r="C144" s="86"/>
      <c r="D144" s="86"/>
      <c r="E144" s="6" t="s">
        <v>31</v>
      </c>
    </row>
    <row r="145" spans="1:5" ht="19.5" thickBot="1">
      <c r="A145" s="7">
        <v>1</v>
      </c>
      <c r="B145" s="8">
        <v>2</v>
      </c>
      <c r="C145" s="8">
        <v>3</v>
      </c>
      <c r="D145" s="8">
        <v>4</v>
      </c>
      <c r="E145" s="16">
        <v>5</v>
      </c>
    </row>
    <row r="146" spans="1:5" ht="19.5" thickBot="1">
      <c r="A146" s="9" t="s">
        <v>34</v>
      </c>
      <c r="B146" s="10" t="s">
        <v>36</v>
      </c>
      <c r="C146" s="19">
        <v>3</v>
      </c>
      <c r="D146" s="28">
        <v>200</v>
      </c>
      <c r="E146" s="28">
        <f>C146*D146</f>
        <v>600</v>
      </c>
    </row>
    <row r="147" spans="1:5" ht="19.5" thickBot="1">
      <c r="A147" s="9" t="s">
        <v>40</v>
      </c>
      <c r="B147" s="10" t="s">
        <v>36</v>
      </c>
      <c r="C147" s="19">
        <v>2</v>
      </c>
      <c r="D147" s="28">
        <v>6</v>
      </c>
      <c r="E147" s="28">
        <f aca="true" t="shared" si="5" ref="E147:E160">C147*D147</f>
        <v>12</v>
      </c>
    </row>
    <row r="148" spans="1:5" ht="19.5" thickBot="1">
      <c r="A148" s="9" t="s">
        <v>41</v>
      </c>
      <c r="B148" s="10" t="s">
        <v>36</v>
      </c>
      <c r="C148" s="19">
        <v>2</v>
      </c>
      <c r="D148" s="28">
        <v>20</v>
      </c>
      <c r="E148" s="28">
        <f t="shared" si="5"/>
        <v>40</v>
      </c>
    </row>
    <row r="149" spans="1:5" ht="19.5" thickBot="1">
      <c r="A149" s="9" t="s">
        <v>42</v>
      </c>
      <c r="B149" s="10" t="s">
        <v>36</v>
      </c>
      <c r="C149" s="19">
        <v>1</v>
      </c>
      <c r="D149" s="28">
        <v>10</v>
      </c>
      <c r="E149" s="28">
        <f t="shared" si="5"/>
        <v>10</v>
      </c>
    </row>
    <row r="150" spans="1:5" ht="19.5" thickBot="1">
      <c r="A150" s="9" t="s">
        <v>43</v>
      </c>
      <c r="B150" s="10" t="s">
        <v>36</v>
      </c>
      <c r="C150" s="19">
        <v>4</v>
      </c>
      <c r="D150" s="28">
        <v>30</v>
      </c>
      <c r="E150" s="28">
        <f t="shared" si="5"/>
        <v>120</v>
      </c>
    </row>
    <row r="151" spans="1:5" ht="19.5" thickBot="1">
      <c r="A151" s="9" t="s">
        <v>45</v>
      </c>
      <c r="B151" s="10" t="s">
        <v>36</v>
      </c>
      <c r="C151" s="19">
        <v>83</v>
      </c>
      <c r="D151" s="28">
        <v>1</v>
      </c>
      <c r="E151" s="28">
        <f t="shared" si="5"/>
        <v>83</v>
      </c>
    </row>
    <row r="152" spans="1:5" ht="19.5" thickBot="1">
      <c r="A152" s="9" t="s">
        <v>48</v>
      </c>
      <c r="B152" s="10" t="s">
        <v>36</v>
      </c>
      <c r="C152" s="19">
        <v>0</v>
      </c>
      <c r="D152" s="28">
        <v>100</v>
      </c>
      <c r="E152" s="28">
        <f t="shared" si="5"/>
        <v>0</v>
      </c>
    </row>
    <row r="153" spans="1:5" ht="19.5" thickBot="1">
      <c r="A153" s="9" t="s">
        <v>49</v>
      </c>
      <c r="B153" s="10" t="s">
        <v>36</v>
      </c>
      <c r="C153" s="19">
        <v>35</v>
      </c>
      <c r="D153" s="28">
        <v>16</v>
      </c>
      <c r="E153" s="28">
        <f t="shared" si="5"/>
        <v>560</v>
      </c>
    </row>
    <row r="154" spans="1:5" ht="19.5" thickBot="1">
      <c r="A154" s="9" t="s">
        <v>46</v>
      </c>
      <c r="B154" s="10" t="s">
        <v>36</v>
      </c>
      <c r="C154" s="19">
        <v>2</v>
      </c>
      <c r="D154" s="28">
        <v>40</v>
      </c>
      <c r="E154" s="28">
        <f t="shared" si="5"/>
        <v>80</v>
      </c>
    </row>
    <row r="155" spans="1:5" ht="19.5" thickBot="1">
      <c r="A155" s="9" t="s">
        <v>47</v>
      </c>
      <c r="B155" s="10" t="s">
        <v>36</v>
      </c>
      <c r="C155" s="19">
        <v>0</v>
      </c>
      <c r="D155" s="28">
        <v>200</v>
      </c>
      <c r="E155" s="28">
        <f t="shared" si="5"/>
        <v>0</v>
      </c>
    </row>
    <row r="156" spans="1:5" ht="19.5" thickBot="1">
      <c r="A156" s="9" t="s">
        <v>37</v>
      </c>
      <c r="B156" s="10" t="s">
        <v>38</v>
      </c>
      <c r="C156" s="19">
        <v>2</v>
      </c>
      <c r="D156" s="28">
        <v>100</v>
      </c>
      <c r="E156" s="28">
        <f t="shared" si="5"/>
        <v>200</v>
      </c>
    </row>
    <row r="157" spans="1:5" ht="19.5" thickBot="1">
      <c r="A157" s="9" t="s">
        <v>44</v>
      </c>
      <c r="B157" s="10" t="s">
        <v>36</v>
      </c>
      <c r="C157" s="19">
        <v>3</v>
      </c>
      <c r="D157" s="28">
        <v>20</v>
      </c>
      <c r="E157" s="28">
        <f t="shared" si="5"/>
        <v>60</v>
      </c>
    </row>
    <row r="158" spans="1:5" ht="18.75">
      <c r="A158" s="15" t="s">
        <v>39</v>
      </c>
      <c r="B158" s="17" t="s">
        <v>36</v>
      </c>
      <c r="C158" s="19">
        <v>5</v>
      </c>
      <c r="D158" s="33">
        <v>10</v>
      </c>
      <c r="E158" s="28">
        <f t="shared" si="5"/>
        <v>50</v>
      </c>
    </row>
    <row r="159" spans="1:5" ht="19.5" thickBot="1">
      <c r="A159" s="43" t="s">
        <v>84</v>
      </c>
      <c r="B159" s="19" t="s">
        <v>86</v>
      </c>
      <c r="C159" s="19">
        <v>6</v>
      </c>
      <c r="D159" s="44">
        <v>50</v>
      </c>
      <c r="E159" s="28">
        <f t="shared" si="5"/>
        <v>300</v>
      </c>
    </row>
    <row r="160" spans="1:5" ht="19.5" thickBot="1">
      <c r="A160" s="43" t="s">
        <v>85</v>
      </c>
      <c r="B160" s="19" t="s">
        <v>86</v>
      </c>
      <c r="C160" s="19">
        <v>287</v>
      </c>
      <c r="D160" s="44">
        <v>30</v>
      </c>
      <c r="E160" s="28">
        <f t="shared" si="5"/>
        <v>8610</v>
      </c>
    </row>
    <row r="161" spans="1:5" ht="15">
      <c r="A161" s="19" t="s">
        <v>53</v>
      </c>
      <c r="B161" s="19"/>
      <c r="C161" s="19"/>
      <c r="D161" s="19"/>
      <c r="E161" s="19">
        <f>SUM(E146:E160)</f>
        <v>10725</v>
      </c>
    </row>
    <row r="162" spans="1:5" ht="15">
      <c r="A162" s="19" t="s">
        <v>58</v>
      </c>
      <c r="B162" s="19"/>
      <c r="C162" s="19"/>
      <c r="D162" s="19"/>
      <c r="E162" s="19">
        <v>1398</v>
      </c>
    </row>
    <row r="163" spans="1:5" ht="15">
      <c r="A163" s="19" t="s">
        <v>62</v>
      </c>
      <c r="B163" s="19"/>
      <c r="C163" s="19"/>
      <c r="D163" s="19"/>
      <c r="E163" s="20">
        <f>E161/E162</f>
        <v>7.671673819742489</v>
      </c>
    </row>
    <row r="165" ht="15">
      <c r="G165" s="38">
        <f>E30+E56+E83+E109+E135+E161</f>
        <v>111840.5</v>
      </c>
    </row>
    <row r="166" ht="15">
      <c r="G166">
        <v>1128353.6</v>
      </c>
    </row>
    <row r="167" ht="15">
      <c r="G167" s="38">
        <f>SUM(G165:G166)</f>
        <v>1240194.1</v>
      </c>
    </row>
    <row r="168" ht="15">
      <c r="G168">
        <v>1234873.86</v>
      </c>
    </row>
    <row r="169" ht="15">
      <c r="G169" s="38">
        <f>SUM(G167:G168)</f>
        <v>2475067.96</v>
      </c>
    </row>
    <row r="170" ht="15">
      <c r="G170">
        <v>2506000</v>
      </c>
    </row>
    <row r="171" ht="15">
      <c r="G171" s="38">
        <f>G170-G169</f>
        <v>30932.040000000037</v>
      </c>
    </row>
  </sheetData>
  <sheetProtection/>
  <mergeCells count="38">
    <mergeCell ref="D143:D144"/>
    <mergeCell ref="A114:C114"/>
    <mergeCell ref="A115:B115"/>
    <mergeCell ref="A117:A118"/>
    <mergeCell ref="B117:B118"/>
    <mergeCell ref="C117:C118"/>
    <mergeCell ref="D117:D118"/>
    <mergeCell ref="A140:C140"/>
    <mergeCell ref="A141:B141"/>
    <mergeCell ref="A143:A144"/>
    <mergeCell ref="B143:B144"/>
    <mergeCell ref="C143:C144"/>
    <mergeCell ref="D90:D91"/>
    <mergeCell ref="A64:C64"/>
    <mergeCell ref="A65:B65"/>
    <mergeCell ref="A67:A68"/>
    <mergeCell ref="B67:B68"/>
    <mergeCell ref="C67:C68"/>
    <mergeCell ref="D67:D68"/>
    <mergeCell ref="A87:C87"/>
    <mergeCell ref="A88:B88"/>
    <mergeCell ref="A90:A91"/>
    <mergeCell ref="B90:B91"/>
    <mergeCell ref="C90:C91"/>
    <mergeCell ref="D36:D37"/>
    <mergeCell ref="A4:E4"/>
    <mergeCell ref="A12:A13"/>
    <mergeCell ref="B12:B13"/>
    <mergeCell ref="C12:C13"/>
    <mergeCell ref="D12:D13"/>
    <mergeCell ref="A7:E7"/>
    <mergeCell ref="A10:B10"/>
    <mergeCell ref="A9:C9"/>
    <mergeCell ref="A33:C33"/>
    <mergeCell ref="A34:B34"/>
    <mergeCell ref="A36:A37"/>
    <mergeCell ref="B36:B37"/>
    <mergeCell ref="C36:C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zoomScalePageLayoutView="0" workbookViewId="0" topLeftCell="A14">
      <selection activeCell="A50" sqref="A50:C184"/>
    </sheetView>
  </sheetViews>
  <sheetFormatPr defaultColWidth="9.140625" defaultRowHeight="15"/>
  <cols>
    <col min="2" max="2" width="36.00390625" style="0" customWidth="1"/>
    <col min="3" max="3" width="45.421875" style="0" customWidth="1"/>
  </cols>
  <sheetData>
    <row r="1" ht="1.5" customHeight="1">
      <c r="A1" s="2"/>
    </row>
    <row r="2" spans="1:3" ht="15.75">
      <c r="A2" s="91" t="s">
        <v>63</v>
      </c>
      <c r="B2" s="91"/>
      <c r="C2" s="91"/>
    </row>
    <row r="3" ht="15.75">
      <c r="A3" s="2" t="s">
        <v>25</v>
      </c>
    </row>
    <row r="4" spans="1:3" ht="18.75">
      <c r="A4" s="92" t="s">
        <v>2</v>
      </c>
      <c r="B4" s="92"/>
      <c r="C4" s="92"/>
    </row>
    <row r="5" ht="15.75" customHeight="1" thickBot="1">
      <c r="A5" s="2"/>
    </row>
    <row r="6" ht="16.5" hidden="1" thickBot="1">
      <c r="A6" s="2"/>
    </row>
    <row r="7" ht="16.5" hidden="1" thickBot="1">
      <c r="A7" s="13"/>
    </row>
    <row r="8" spans="1:3" ht="40.5" customHeight="1">
      <c r="A8" s="107">
        <v>1</v>
      </c>
      <c r="B8" s="84" t="s">
        <v>64</v>
      </c>
      <c r="C8" s="100">
        <f>C36</f>
        <v>902684.42</v>
      </c>
    </row>
    <row r="9" spans="1:3" ht="15.75" thickBot="1">
      <c r="A9" s="108"/>
      <c r="B9" s="86"/>
      <c r="C9" s="101"/>
    </row>
    <row r="10" spans="1:3" ht="40.5" customHeight="1">
      <c r="A10" s="107">
        <v>2</v>
      </c>
      <c r="B10" s="84" t="s">
        <v>65</v>
      </c>
      <c r="C10" s="100">
        <f>C49</f>
        <v>337284</v>
      </c>
    </row>
    <row r="11" spans="1:3" ht="15.75" thickBot="1">
      <c r="A11" s="108"/>
      <c r="B11" s="86"/>
      <c r="C11" s="101"/>
    </row>
    <row r="12" spans="1:3" ht="18.75" customHeight="1">
      <c r="A12" s="100">
        <v>3</v>
      </c>
      <c r="B12" s="102" t="s">
        <v>99</v>
      </c>
      <c r="C12" s="100">
        <v>24000</v>
      </c>
    </row>
    <row r="13" spans="1:3" ht="19.5" customHeight="1" thickBot="1">
      <c r="A13" s="101"/>
      <c r="B13" s="103"/>
      <c r="C13" s="104"/>
    </row>
    <row r="14" spans="1:3" ht="59.25" customHeight="1">
      <c r="A14" s="107">
        <v>4</v>
      </c>
      <c r="B14" s="110" t="s">
        <v>66</v>
      </c>
      <c r="C14" s="105">
        <v>83916.12</v>
      </c>
    </row>
    <row r="15" spans="1:3" ht="19.5" customHeight="1" thickBot="1">
      <c r="A15" s="108"/>
      <c r="B15" s="111"/>
      <c r="C15" s="106"/>
    </row>
    <row r="16" spans="1:3" ht="40.5" customHeight="1">
      <c r="A16" s="107">
        <v>5</v>
      </c>
      <c r="B16" s="84" t="s">
        <v>67</v>
      </c>
      <c r="C16" s="104">
        <f>(125960*3+154400*3)*1.342</f>
        <v>1128729.36</v>
      </c>
    </row>
    <row r="17" spans="1:3" ht="15.75" customHeight="1" thickBot="1">
      <c r="A17" s="108"/>
      <c r="B17" s="86"/>
      <c r="C17" s="104"/>
    </row>
    <row r="18" spans="1:10" ht="21.75" customHeight="1">
      <c r="A18" s="107">
        <v>6</v>
      </c>
      <c r="B18" s="110" t="s">
        <v>68</v>
      </c>
      <c r="C18" s="83">
        <f>(C8+C10+C12+C14)/C16</f>
        <v>1.1941609634394554</v>
      </c>
      <c r="G18" s="95"/>
      <c r="H18" s="96"/>
      <c r="I18" s="96"/>
      <c r="J18" s="96"/>
    </row>
    <row r="19" spans="1:10" ht="15.75" customHeight="1" thickBot="1">
      <c r="A19" s="108"/>
      <c r="B19" s="111"/>
      <c r="C19" s="83"/>
      <c r="G19" s="95"/>
      <c r="H19" s="96"/>
      <c r="I19" s="96"/>
      <c r="J19" s="96"/>
    </row>
    <row r="20" spans="1:3" ht="40.5" customHeight="1">
      <c r="A20" s="107">
        <v>7</v>
      </c>
      <c r="B20" s="84" t="s">
        <v>69</v>
      </c>
      <c r="C20" s="109">
        <f>'зат.матер.'!E30+'зат.матер.'!E56+'зат.матер.'!E83+'зат.матер.'!E109+'зат.матер.'!E135+'зат.матер.'!E161</f>
        <v>111840.5</v>
      </c>
    </row>
    <row r="21" spans="1:3" ht="15.75" thickBot="1">
      <c r="A21" s="108"/>
      <c r="B21" s="86"/>
      <c r="C21" s="108"/>
    </row>
    <row r="22" spans="1:3" ht="19.5" thickBot="1">
      <c r="A22" s="34">
        <v>8</v>
      </c>
      <c r="B22" s="6" t="s">
        <v>70</v>
      </c>
      <c r="C22" s="6">
        <f>C18*C20</f>
        <v>133555.5592315504</v>
      </c>
    </row>
    <row r="24" ht="0.75" customHeight="1"/>
    <row r="25" ht="15" hidden="1"/>
    <row r="26" spans="2:3" ht="14.25" customHeight="1">
      <c r="B26" s="90" t="s">
        <v>64</v>
      </c>
      <c r="C26" s="90"/>
    </row>
    <row r="27" spans="1:3" ht="15">
      <c r="A27" s="19" t="s">
        <v>91</v>
      </c>
      <c r="B27" s="19" t="s">
        <v>89</v>
      </c>
      <c r="C27" s="19" t="s">
        <v>90</v>
      </c>
    </row>
    <row r="28" spans="1:3" ht="30">
      <c r="A28" s="19">
        <v>1</v>
      </c>
      <c r="B28" s="39" t="s">
        <v>93</v>
      </c>
      <c r="C28" s="19">
        <f>(192260+162760)*1.342</f>
        <v>476436.84</v>
      </c>
    </row>
    <row r="29" spans="1:6" ht="30">
      <c r="A29" s="19">
        <v>2</v>
      </c>
      <c r="B29" s="39" t="s">
        <v>92</v>
      </c>
      <c r="C29" s="19">
        <f>(87120+72220+72220+21680)*1.342</f>
        <v>339848.08</v>
      </c>
      <c r="F29">
        <f>C28+C29+1128353.6</f>
        <v>1944638.52</v>
      </c>
    </row>
    <row r="30" spans="1:3" ht="15">
      <c r="A30" s="19"/>
      <c r="B30" s="39" t="s">
        <v>103</v>
      </c>
      <c r="C30" s="19">
        <v>7700</v>
      </c>
    </row>
    <row r="31" spans="1:3" ht="15">
      <c r="A31" s="19">
        <v>3</v>
      </c>
      <c r="B31" s="19" t="s">
        <v>94</v>
      </c>
      <c r="C31" s="19">
        <f>2800+2000+5000</f>
        <v>9800</v>
      </c>
    </row>
    <row r="32" spans="1:6" ht="15">
      <c r="A32" s="19">
        <v>4</v>
      </c>
      <c r="B32" s="19" t="s">
        <v>95</v>
      </c>
      <c r="C32" s="19">
        <v>18000</v>
      </c>
      <c r="F32">
        <f>1449060*1.342</f>
        <v>1944638.52</v>
      </c>
    </row>
    <row r="33" spans="1:3" ht="15">
      <c r="A33" s="19">
        <v>5</v>
      </c>
      <c r="B33" s="19" t="s">
        <v>96</v>
      </c>
      <c r="C33" s="19">
        <v>14000</v>
      </c>
    </row>
    <row r="34" spans="1:3" ht="15">
      <c r="A34" s="19">
        <v>6</v>
      </c>
      <c r="B34" s="19" t="s">
        <v>97</v>
      </c>
      <c r="C34" s="19">
        <f>38740-1815-883-3038-13386-1092-1430</f>
        <v>17096</v>
      </c>
    </row>
    <row r="35" spans="1:3" ht="15">
      <c r="A35" s="19">
        <v>7</v>
      </c>
      <c r="B35" s="19" t="s">
        <v>98</v>
      </c>
      <c r="C35" s="19">
        <f>110000-7150-58060-5350-7150-3576.5-8910</f>
        <v>19803.5</v>
      </c>
    </row>
    <row r="36" spans="1:3" ht="15">
      <c r="A36" s="51"/>
      <c r="B36" s="51" t="s">
        <v>53</v>
      </c>
      <c r="C36" s="51">
        <f>SUM(C28:C35)</f>
        <v>902684.42</v>
      </c>
    </row>
    <row r="37" spans="1:3" ht="1.5" customHeight="1">
      <c r="A37" s="19"/>
      <c r="B37" s="19"/>
      <c r="C37" s="19"/>
    </row>
    <row r="38" spans="1:3" ht="15">
      <c r="A38" s="97" t="s">
        <v>65</v>
      </c>
      <c r="B38" s="98"/>
      <c r="C38" s="99"/>
    </row>
    <row r="39" spans="1:3" ht="15">
      <c r="A39" s="19"/>
      <c r="B39" s="19" t="s">
        <v>100</v>
      </c>
      <c r="C39" s="19">
        <v>84000</v>
      </c>
    </row>
    <row r="40" spans="1:3" ht="15">
      <c r="A40" s="19"/>
      <c r="B40" s="19" t="s">
        <v>101</v>
      </c>
      <c r="C40" s="19">
        <v>79476</v>
      </c>
    </row>
    <row r="41" spans="1:3" ht="15">
      <c r="A41" s="19"/>
      <c r="B41" s="19" t="s">
        <v>102</v>
      </c>
      <c r="C41" s="19">
        <v>49000</v>
      </c>
    </row>
    <row r="42" spans="1:3" ht="15">
      <c r="A42" s="19"/>
      <c r="B42" s="19" t="s">
        <v>104</v>
      </c>
      <c r="C42" s="19">
        <v>20000</v>
      </c>
    </row>
    <row r="43" spans="1:3" ht="15">
      <c r="A43" s="19"/>
      <c r="B43" s="19" t="s">
        <v>105</v>
      </c>
      <c r="C43" s="19">
        <v>33000</v>
      </c>
    </row>
    <row r="44" spans="1:3" ht="15">
      <c r="A44" s="19"/>
      <c r="B44" s="52" t="s">
        <v>106</v>
      </c>
      <c r="C44" s="52">
        <v>10000</v>
      </c>
    </row>
    <row r="45" spans="1:3" ht="15">
      <c r="A45" s="19"/>
      <c r="B45" s="52" t="s">
        <v>107</v>
      </c>
      <c r="C45" s="52">
        <v>1000</v>
      </c>
    </row>
    <row r="46" spans="1:3" ht="15">
      <c r="A46" s="19"/>
      <c r="B46" s="52" t="s">
        <v>108</v>
      </c>
      <c r="C46" s="52">
        <v>21408</v>
      </c>
    </row>
    <row r="47" spans="1:3" ht="30">
      <c r="A47" s="19"/>
      <c r="B47" s="53" t="s">
        <v>109</v>
      </c>
      <c r="C47" s="52">
        <v>39400</v>
      </c>
    </row>
    <row r="48" spans="1:3" ht="0.75" customHeight="1">
      <c r="A48" s="19"/>
      <c r="B48" s="19"/>
      <c r="C48" s="19"/>
    </row>
    <row r="49" spans="1:3" ht="15">
      <c r="A49" s="54"/>
      <c r="B49" s="54" t="s">
        <v>53</v>
      </c>
      <c r="C49" s="54">
        <f>SUM(C39:C48)</f>
        <v>337284</v>
      </c>
    </row>
    <row r="50" spans="1:3" ht="15">
      <c r="A50" s="60"/>
      <c r="B50" s="60"/>
      <c r="C50" s="60"/>
    </row>
    <row r="51" spans="1:3" ht="15">
      <c r="A51" s="79"/>
      <c r="B51" s="79" t="s">
        <v>161</v>
      </c>
      <c r="C51" s="60"/>
    </row>
    <row r="52" spans="1:3" ht="15">
      <c r="A52" s="79"/>
      <c r="B52" s="79" t="s">
        <v>162</v>
      </c>
      <c r="C52" s="60"/>
    </row>
    <row r="53" spans="1:3" ht="15">
      <c r="A53" s="60"/>
      <c r="B53" s="60"/>
      <c r="C53" s="60"/>
    </row>
    <row r="54" spans="1:3" ht="15.75">
      <c r="A54" s="91" t="s">
        <v>63</v>
      </c>
      <c r="B54" s="91"/>
      <c r="C54" s="91"/>
    </row>
    <row r="55" ht="15.75">
      <c r="A55" s="40" t="s">
        <v>13</v>
      </c>
    </row>
    <row r="56" spans="1:3" ht="19.5" thickBot="1">
      <c r="A56" s="92" t="s">
        <v>2</v>
      </c>
      <c r="B56" s="92"/>
      <c r="C56" s="92"/>
    </row>
    <row r="57" spans="1:3" ht="15">
      <c r="A57" s="107">
        <v>1</v>
      </c>
      <c r="B57" s="84" t="s">
        <v>64</v>
      </c>
      <c r="C57" s="100">
        <f>C36</f>
        <v>902684.42</v>
      </c>
    </row>
    <row r="58" spans="1:3" ht="48" customHeight="1" thickBot="1">
      <c r="A58" s="108"/>
      <c r="B58" s="86"/>
      <c r="C58" s="101"/>
    </row>
    <row r="59" spans="1:3" ht="15">
      <c r="A59" s="107">
        <v>2</v>
      </c>
      <c r="B59" s="84" t="s">
        <v>65</v>
      </c>
      <c r="C59" s="100">
        <f>C49</f>
        <v>337284</v>
      </c>
    </row>
    <row r="60" spans="1:3" ht="39.75" customHeight="1" thickBot="1">
      <c r="A60" s="108"/>
      <c r="B60" s="86"/>
      <c r="C60" s="101"/>
    </row>
    <row r="61" spans="1:3" ht="15">
      <c r="A61" s="100">
        <v>3</v>
      </c>
      <c r="B61" s="102" t="s">
        <v>99</v>
      </c>
      <c r="C61" s="100">
        <v>24000</v>
      </c>
    </row>
    <row r="62" spans="1:3" ht="15.75" thickBot="1">
      <c r="A62" s="101"/>
      <c r="B62" s="103"/>
      <c r="C62" s="104"/>
    </row>
    <row r="63" spans="1:3" ht="15">
      <c r="A63" s="107">
        <v>4</v>
      </c>
      <c r="B63" s="110" t="s">
        <v>66</v>
      </c>
      <c r="C63" s="105">
        <v>83617</v>
      </c>
    </row>
    <row r="64" spans="1:3" ht="65.25" customHeight="1" thickBot="1">
      <c r="A64" s="108"/>
      <c r="B64" s="111"/>
      <c r="C64" s="106"/>
    </row>
    <row r="65" spans="1:3" ht="15">
      <c r="A65" s="107">
        <v>5</v>
      </c>
      <c r="B65" s="84" t="s">
        <v>67</v>
      </c>
      <c r="C65" s="104">
        <v>151455.6</v>
      </c>
    </row>
    <row r="66" spans="1:3" ht="42" customHeight="1" thickBot="1">
      <c r="A66" s="108"/>
      <c r="B66" s="86"/>
      <c r="C66" s="104"/>
    </row>
    <row r="67" spans="1:3" ht="15">
      <c r="A67" s="107">
        <v>6</v>
      </c>
      <c r="B67" s="110" t="s">
        <v>68</v>
      </c>
      <c r="C67" s="83">
        <f>(C57+C59+C61)/C65</f>
        <v>8.345471676187607</v>
      </c>
    </row>
    <row r="68" spans="1:3" ht="28.5" customHeight="1" thickBot="1">
      <c r="A68" s="108"/>
      <c r="B68" s="111"/>
      <c r="C68" s="83"/>
    </row>
    <row r="69" spans="1:3" ht="15">
      <c r="A69" s="107">
        <v>7</v>
      </c>
      <c r="B69" s="84" t="s">
        <v>69</v>
      </c>
      <c r="C69" s="109">
        <f>'зат.на оплату труд.'!E13+'зат.матер.'!E32</f>
        <v>146.1561087193164</v>
      </c>
    </row>
    <row r="70" spans="1:5" ht="42" customHeight="1" thickBot="1">
      <c r="A70" s="108"/>
      <c r="B70" s="86"/>
      <c r="C70" s="108"/>
      <c r="E70">
        <f>1106*C72</f>
        <v>162868.39790918276</v>
      </c>
    </row>
    <row r="71" spans="1:3" ht="21" customHeight="1">
      <c r="A71" s="61">
        <v>8</v>
      </c>
      <c r="B71" s="5" t="s">
        <v>70</v>
      </c>
      <c r="C71" s="5">
        <f>C67*C69/1106</f>
        <v>1.102840565658998</v>
      </c>
    </row>
    <row r="72" spans="1:3" ht="15">
      <c r="A72" s="19"/>
      <c r="B72" s="19" t="s">
        <v>55</v>
      </c>
      <c r="C72" s="20">
        <f>C69+C71</f>
        <v>147.2589492849754</v>
      </c>
    </row>
    <row r="75" spans="1:3" ht="15.75">
      <c r="A75" s="91" t="s">
        <v>63</v>
      </c>
      <c r="B75" s="91"/>
      <c r="C75" s="91"/>
    </row>
    <row r="76" ht="15.75">
      <c r="A76" s="40" t="s">
        <v>14</v>
      </c>
    </row>
    <row r="77" spans="1:3" ht="19.5" thickBot="1">
      <c r="A77" s="92" t="s">
        <v>2</v>
      </c>
      <c r="B77" s="92"/>
      <c r="C77" s="92"/>
    </row>
    <row r="78" spans="1:3" ht="15">
      <c r="A78" s="107">
        <v>1</v>
      </c>
      <c r="B78" s="84" t="s">
        <v>64</v>
      </c>
      <c r="C78" s="100">
        <f>C36</f>
        <v>902684.42</v>
      </c>
    </row>
    <row r="79" spans="1:3" ht="51.75" customHeight="1" thickBot="1">
      <c r="A79" s="108"/>
      <c r="B79" s="86"/>
      <c r="C79" s="101"/>
    </row>
    <row r="80" spans="1:3" ht="15">
      <c r="A80" s="107">
        <v>2</v>
      </c>
      <c r="B80" s="84" t="s">
        <v>65</v>
      </c>
      <c r="C80" s="100">
        <f>C49</f>
        <v>337284</v>
      </c>
    </row>
    <row r="81" spans="1:3" ht="54.75" customHeight="1" thickBot="1">
      <c r="A81" s="108"/>
      <c r="B81" s="86"/>
      <c r="C81" s="101"/>
    </row>
    <row r="82" spans="1:3" ht="15">
      <c r="A82" s="100">
        <v>3</v>
      </c>
      <c r="B82" s="102" t="s">
        <v>99</v>
      </c>
      <c r="C82" s="100">
        <v>24000</v>
      </c>
    </row>
    <row r="83" spans="1:3" ht="15.75" thickBot="1">
      <c r="A83" s="101"/>
      <c r="B83" s="103"/>
      <c r="C83" s="104"/>
    </row>
    <row r="84" spans="1:3" ht="15">
      <c r="A84" s="107">
        <v>4</v>
      </c>
      <c r="B84" s="110" t="s">
        <v>66</v>
      </c>
      <c r="C84" s="105">
        <v>83617</v>
      </c>
    </row>
    <row r="85" spans="1:3" ht="45" customHeight="1" thickBot="1">
      <c r="A85" s="108"/>
      <c r="B85" s="111"/>
      <c r="C85" s="106"/>
    </row>
    <row r="86" spans="1:3" ht="15">
      <c r="A86" s="107">
        <v>5</v>
      </c>
      <c r="B86" s="84" t="s">
        <v>67</v>
      </c>
      <c r="C86" s="104">
        <v>690612.8</v>
      </c>
    </row>
    <row r="87" spans="1:3" ht="45.75" customHeight="1" thickBot="1">
      <c r="A87" s="108"/>
      <c r="B87" s="86"/>
      <c r="C87" s="104"/>
    </row>
    <row r="88" spans="1:3" ht="15">
      <c r="A88" s="107">
        <v>6</v>
      </c>
      <c r="B88" s="110" t="s">
        <v>68</v>
      </c>
      <c r="C88" s="83">
        <f>(C78+C80+C82)/C86</f>
        <v>1.8302128486468827</v>
      </c>
    </row>
    <row r="89" spans="1:3" ht="29.25" customHeight="1" thickBot="1">
      <c r="A89" s="108"/>
      <c r="B89" s="111"/>
      <c r="C89" s="83"/>
    </row>
    <row r="90" spans="1:3" ht="15">
      <c r="A90" s="107">
        <v>7</v>
      </c>
      <c r="B90" s="84" t="s">
        <v>69</v>
      </c>
      <c r="C90" s="109">
        <f>'зат.на оплату труд.'!E27+'зат.матер.'!E58</f>
        <v>189.878567633385</v>
      </c>
    </row>
    <row r="91" spans="1:3" ht="47.25" customHeight="1" thickBot="1">
      <c r="A91" s="108"/>
      <c r="B91" s="86"/>
      <c r="C91" s="108"/>
    </row>
    <row r="92" spans="1:4" ht="18.75">
      <c r="A92" s="61">
        <v>8</v>
      </c>
      <c r="B92" s="5" t="s">
        <v>70</v>
      </c>
      <c r="C92" s="5">
        <f>C88*C90/9034</f>
        <v>0.038467809847829014</v>
      </c>
      <c r="D92">
        <f>C93*9034</f>
        <v>1715710.498194165</v>
      </c>
    </row>
    <row r="93" spans="1:3" ht="15">
      <c r="A93" s="19"/>
      <c r="B93" s="19" t="s">
        <v>55</v>
      </c>
      <c r="C93" s="20">
        <f>C90+C92</f>
        <v>189.9170354432328</v>
      </c>
    </row>
    <row r="96" spans="1:3" ht="15.75">
      <c r="A96" s="91" t="s">
        <v>63</v>
      </c>
      <c r="B96" s="91"/>
      <c r="C96" s="91"/>
    </row>
    <row r="97" ht="15.75">
      <c r="A97" s="40" t="s">
        <v>17</v>
      </c>
    </row>
    <row r="98" spans="1:3" ht="19.5" thickBot="1">
      <c r="A98" s="92" t="s">
        <v>2</v>
      </c>
      <c r="B98" s="92"/>
      <c r="C98" s="92"/>
    </row>
    <row r="99" spans="1:3" ht="15">
      <c r="A99" s="107">
        <v>1</v>
      </c>
      <c r="B99" s="84" t="s">
        <v>64</v>
      </c>
      <c r="C99" s="100">
        <f>C36</f>
        <v>902684.42</v>
      </c>
    </row>
    <row r="100" spans="1:3" ht="45" customHeight="1" thickBot="1">
      <c r="A100" s="108"/>
      <c r="B100" s="86"/>
      <c r="C100" s="101"/>
    </row>
    <row r="101" spans="1:3" ht="15">
      <c r="A101" s="107">
        <v>2</v>
      </c>
      <c r="B101" s="84" t="s">
        <v>65</v>
      </c>
      <c r="C101" s="100">
        <f>C49</f>
        <v>337284</v>
      </c>
    </row>
    <row r="102" spans="1:3" ht="45.75" customHeight="1" thickBot="1">
      <c r="A102" s="108"/>
      <c r="B102" s="86"/>
      <c r="C102" s="101"/>
    </row>
    <row r="103" spans="1:3" ht="15">
      <c r="A103" s="100">
        <v>3</v>
      </c>
      <c r="B103" s="102" t="s">
        <v>99</v>
      </c>
      <c r="C103" s="100">
        <v>24000</v>
      </c>
    </row>
    <row r="104" spans="1:3" ht="15.75" thickBot="1">
      <c r="A104" s="101"/>
      <c r="B104" s="103"/>
      <c r="C104" s="104"/>
    </row>
    <row r="105" spans="1:3" ht="15">
      <c r="A105" s="107">
        <v>4</v>
      </c>
      <c r="B105" s="110" t="s">
        <v>66</v>
      </c>
      <c r="C105" s="105">
        <v>83617</v>
      </c>
    </row>
    <row r="106" spans="1:3" ht="45.75" customHeight="1" thickBot="1">
      <c r="A106" s="108"/>
      <c r="B106" s="111"/>
      <c r="C106" s="106"/>
    </row>
    <row r="107" spans="1:3" ht="15">
      <c r="A107" s="107">
        <v>5</v>
      </c>
      <c r="B107" s="84" t="s">
        <v>67</v>
      </c>
      <c r="C107" s="104">
        <v>61118.9</v>
      </c>
    </row>
    <row r="108" spans="1:3" ht="43.5" customHeight="1" thickBot="1">
      <c r="A108" s="108"/>
      <c r="B108" s="86"/>
      <c r="C108" s="104"/>
    </row>
    <row r="109" spans="1:3" ht="15">
      <c r="A109" s="107">
        <v>6</v>
      </c>
      <c r="B109" s="110" t="s">
        <v>68</v>
      </c>
      <c r="C109" s="83">
        <f>(C99+C101+C103)/C107</f>
        <v>20.68048377834025</v>
      </c>
    </row>
    <row r="110" spans="1:3" ht="30" customHeight="1" thickBot="1">
      <c r="A110" s="108"/>
      <c r="B110" s="111"/>
      <c r="C110" s="83"/>
    </row>
    <row r="111" spans="1:3" ht="15">
      <c r="A111" s="107">
        <v>7</v>
      </c>
      <c r="B111" s="84" t="s">
        <v>69</v>
      </c>
      <c r="C111" s="109">
        <f>'зат.на оплату труд.'!E41+'зат.матер.'!E85</f>
        <v>159.20731643704318</v>
      </c>
    </row>
    <row r="112" spans="1:3" ht="43.5" customHeight="1" thickBot="1">
      <c r="A112" s="108"/>
      <c r="B112" s="86"/>
      <c r="C112" s="108"/>
    </row>
    <row r="113" spans="1:3" ht="18.75">
      <c r="A113" s="61">
        <v>8</v>
      </c>
      <c r="B113" s="5" t="s">
        <v>70</v>
      </c>
      <c r="C113" s="5">
        <f>C109*C111/824</f>
        <v>3.9957334040890222</v>
      </c>
    </row>
    <row r="114" spans="1:5" ht="15">
      <c r="A114" s="19"/>
      <c r="B114" s="19" t="s">
        <v>120</v>
      </c>
      <c r="C114" s="20">
        <f>C111+C113</f>
        <v>163.20304984113218</v>
      </c>
      <c r="D114">
        <v>824</v>
      </c>
      <c r="E114">
        <f>C114*D114</f>
        <v>134479.31306909292</v>
      </c>
    </row>
    <row r="117" spans="1:3" ht="15.75">
      <c r="A117" s="91" t="s">
        <v>63</v>
      </c>
      <c r="B117" s="91"/>
      <c r="C117" s="91"/>
    </row>
    <row r="118" ht="15.75">
      <c r="A118" s="40" t="s">
        <v>18</v>
      </c>
    </row>
    <row r="119" spans="1:3" ht="19.5" thickBot="1">
      <c r="A119" s="92" t="s">
        <v>2</v>
      </c>
      <c r="B119" s="92"/>
      <c r="C119" s="92"/>
    </row>
    <row r="120" spans="1:3" ht="15">
      <c r="A120" s="107">
        <v>1</v>
      </c>
      <c r="B120" s="84" t="s">
        <v>64</v>
      </c>
      <c r="C120" s="100">
        <f>C36</f>
        <v>902684.42</v>
      </c>
    </row>
    <row r="121" spans="1:3" ht="51" customHeight="1" thickBot="1">
      <c r="A121" s="108"/>
      <c r="B121" s="86"/>
      <c r="C121" s="101"/>
    </row>
    <row r="122" spans="1:3" ht="15">
      <c r="A122" s="107">
        <v>2</v>
      </c>
      <c r="B122" s="84" t="s">
        <v>65</v>
      </c>
      <c r="C122" s="100">
        <f>C49</f>
        <v>337284</v>
      </c>
    </row>
    <row r="123" spans="1:3" ht="41.25" customHeight="1" thickBot="1">
      <c r="A123" s="108"/>
      <c r="B123" s="86"/>
      <c r="C123" s="101"/>
    </row>
    <row r="124" spans="1:3" ht="15">
      <c r="A124" s="100">
        <v>3</v>
      </c>
      <c r="B124" s="102" t="s">
        <v>99</v>
      </c>
      <c r="C124" s="100">
        <v>24000</v>
      </c>
    </row>
    <row r="125" spans="1:3" ht="15.75" thickBot="1">
      <c r="A125" s="101"/>
      <c r="B125" s="103"/>
      <c r="C125" s="104"/>
    </row>
    <row r="126" spans="1:3" ht="15">
      <c r="A126" s="107">
        <v>4</v>
      </c>
      <c r="B126" s="110" t="s">
        <v>66</v>
      </c>
      <c r="C126" s="105">
        <v>83617</v>
      </c>
    </row>
    <row r="127" spans="1:3" ht="45.75" customHeight="1" thickBot="1">
      <c r="A127" s="108"/>
      <c r="B127" s="111"/>
      <c r="C127" s="106"/>
    </row>
    <row r="128" spans="1:3" ht="15">
      <c r="A128" s="107">
        <v>5</v>
      </c>
      <c r="B128" s="84" t="s">
        <v>67</v>
      </c>
      <c r="C128" s="104">
        <v>77654.86</v>
      </c>
    </row>
    <row r="129" spans="1:3" ht="45" customHeight="1" thickBot="1">
      <c r="A129" s="108"/>
      <c r="B129" s="86"/>
      <c r="C129" s="104"/>
    </row>
    <row r="130" spans="1:3" ht="15">
      <c r="A130" s="107">
        <v>6</v>
      </c>
      <c r="B130" s="110" t="s">
        <v>68</v>
      </c>
      <c r="C130" s="83">
        <f>(C120+C122+C124)/C128</f>
        <v>16.276745846943772</v>
      </c>
    </row>
    <row r="131" spans="1:3" ht="27" customHeight="1" thickBot="1">
      <c r="A131" s="108"/>
      <c r="B131" s="111"/>
      <c r="C131" s="83"/>
    </row>
    <row r="132" spans="1:3" ht="15">
      <c r="A132" s="107">
        <v>7</v>
      </c>
      <c r="B132" s="84" t="s">
        <v>69</v>
      </c>
      <c r="C132" s="109">
        <f>'зат.на оплату труд.'!E55+'зат.матер.'!E111</f>
        <v>159.5834910151896</v>
      </c>
    </row>
    <row r="133" spans="1:3" ht="44.25" customHeight="1" thickBot="1">
      <c r="A133" s="108"/>
      <c r="B133" s="86"/>
      <c r="C133" s="108"/>
    </row>
    <row r="134" spans="1:5" ht="18.75">
      <c r="A134" s="61">
        <v>8</v>
      </c>
      <c r="B134" s="5" t="s">
        <v>70</v>
      </c>
      <c r="C134" s="5">
        <f>C132*C130/1047</f>
        <v>2.4808977312533678</v>
      </c>
      <c r="D134">
        <v>1047</v>
      </c>
      <c r="E134">
        <f>C135*D134</f>
        <v>169681.41501752578</v>
      </c>
    </row>
    <row r="135" spans="1:3" ht="15">
      <c r="A135" s="19"/>
      <c r="B135" s="19" t="s">
        <v>55</v>
      </c>
      <c r="C135" s="20">
        <f>C132+C134</f>
        <v>162.06438874644297</v>
      </c>
    </row>
    <row r="138" spans="1:3" ht="15.75">
      <c r="A138" s="91" t="s">
        <v>63</v>
      </c>
      <c r="B138" s="91"/>
      <c r="C138" s="91"/>
    </row>
    <row r="139" ht="15.75">
      <c r="A139" s="40" t="s">
        <v>19</v>
      </c>
    </row>
    <row r="140" spans="1:3" ht="19.5" thickBot="1">
      <c r="A140" s="92" t="s">
        <v>2</v>
      </c>
      <c r="B140" s="92"/>
      <c r="C140" s="92"/>
    </row>
    <row r="141" spans="1:3" ht="15">
      <c r="A141" s="107">
        <v>1</v>
      </c>
      <c r="B141" s="84" t="s">
        <v>64</v>
      </c>
      <c r="C141" s="100">
        <f>C36</f>
        <v>902684.42</v>
      </c>
    </row>
    <row r="142" spans="1:3" ht="51" customHeight="1" thickBot="1">
      <c r="A142" s="108"/>
      <c r="B142" s="86"/>
      <c r="C142" s="101"/>
    </row>
    <row r="143" spans="1:3" ht="15">
      <c r="A143" s="107">
        <v>2</v>
      </c>
      <c r="B143" s="84" t="s">
        <v>65</v>
      </c>
      <c r="C143" s="100">
        <f>C49</f>
        <v>337284</v>
      </c>
    </row>
    <row r="144" spans="1:3" ht="30.75" customHeight="1" thickBot="1">
      <c r="A144" s="108"/>
      <c r="B144" s="86"/>
      <c r="C144" s="101"/>
    </row>
    <row r="145" spans="1:3" ht="15">
      <c r="A145" s="100">
        <v>3</v>
      </c>
      <c r="B145" s="102" t="s">
        <v>99</v>
      </c>
      <c r="C145" s="100">
        <v>24000</v>
      </c>
    </row>
    <row r="146" spans="1:3" ht="15.75" thickBot="1">
      <c r="A146" s="101"/>
      <c r="B146" s="103"/>
      <c r="C146" s="104"/>
    </row>
    <row r="147" spans="1:3" ht="15">
      <c r="A147" s="107">
        <v>4</v>
      </c>
      <c r="B147" s="110" t="s">
        <v>66</v>
      </c>
      <c r="C147" s="105">
        <v>83617</v>
      </c>
    </row>
    <row r="148" spans="1:3" ht="48" customHeight="1" thickBot="1">
      <c r="A148" s="108"/>
      <c r="B148" s="111"/>
      <c r="C148" s="106"/>
    </row>
    <row r="149" spans="1:3" ht="15">
      <c r="A149" s="107">
        <v>5</v>
      </c>
      <c r="B149" s="84" t="s">
        <v>67</v>
      </c>
      <c r="C149" s="104">
        <v>43825.99</v>
      </c>
    </row>
    <row r="150" spans="1:3" ht="44.25" customHeight="1" thickBot="1">
      <c r="A150" s="108"/>
      <c r="B150" s="86"/>
      <c r="C150" s="104"/>
    </row>
    <row r="151" spans="1:3" ht="15">
      <c r="A151" s="107">
        <v>6</v>
      </c>
      <c r="B151" s="110" t="s">
        <v>68</v>
      </c>
      <c r="C151" s="83">
        <f>(C141+C143+C145)/C149</f>
        <v>28.840613070007088</v>
      </c>
    </row>
    <row r="152" spans="1:3" ht="32.25" customHeight="1" thickBot="1">
      <c r="A152" s="108"/>
      <c r="B152" s="111"/>
      <c r="C152" s="83"/>
    </row>
    <row r="153" spans="1:3" ht="15">
      <c r="A153" s="107">
        <v>7</v>
      </c>
      <c r="B153" s="84" t="s">
        <v>69</v>
      </c>
      <c r="C153" s="109">
        <f>'зат.на оплату труд.'!E69+'зат.матер.'!E137</f>
        <v>158.9343338875006</v>
      </c>
    </row>
    <row r="154" spans="1:3" ht="46.5" customHeight="1" thickBot="1">
      <c r="A154" s="108"/>
      <c r="B154" s="86"/>
      <c r="C154" s="108"/>
    </row>
    <row r="155" spans="1:3" ht="18.75">
      <c r="A155" s="61">
        <v>8</v>
      </c>
      <c r="B155" s="5" t="s">
        <v>70</v>
      </c>
      <c r="C155" s="5">
        <f>C153*C151/591</f>
        <v>7.755945223669578</v>
      </c>
    </row>
    <row r="156" spans="1:6" ht="15">
      <c r="A156" s="19"/>
      <c r="B156" s="19" t="s">
        <v>55</v>
      </c>
      <c r="C156" s="20">
        <f>C153+C155</f>
        <v>166.69027911117018</v>
      </c>
      <c r="D156">
        <v>166.69</v>
      </c>
      <c r="E156">
        <v>591</v>
      </c>
      <c r="F156">
        <f>D156*E156</f>
        <v>98513.79</v>
      </c>
    </row>
    <row r="159" spans="1:3" ht="15.75">
      <c r="A159" s="91" t="s">
        <v>63</v>
      </c>
      <c r="B159" s="91"/>
      <c r="C159" s="91"/>
    </row>
    <row r="160" ht="15.75">
      <c r="A160" s="40" t="s">
        <v>20</v>
      </c>
    </row>
    <row r="161" spans="1:3" ht="19.5" thickBot="1">
      <c r="A161" s="92" t="s">
        <v>2</v>
      </c>
      <c r="B161" s="92"/>
      <c r="C161" s="92"/>
    </row>
    <row r="162" spans="1:3" ht="15">
      <c r="A162" s="107">
        <v>1</v>
      </c>
      <c r="B162" s="84" t="s">
        <v>64</v>
      </c>
      <c r="C162" s="100">
        <f>C36</f>
        <v>902684.42</v>
      </c>
    </row>
    <row r="163" spans="1:3" ht="54" customHeight="1" thickBot="1">
      <c r="A163" s="108"/>
      <c r="B163" s="86"/>
      <c r="C163" s="101"/>
    </row>
    <row r="164" spans="1:3" ht="15">
      <c r="A164" s="107">
        <v>2</v>
      </c>
      <c r="B164" s="84" t="s">
        <v>65</v>
      </c>
      <c r="C164" s="100">
        <f>C49</f>
        <v>337284</v>
      </c>
    </row>
    <row r="165" spans="1:3" ht="49.5" customHeight="1" thickBot="1">
      <c r="A165" s="108"/>
      <c r="B165" s="86"/>
      <c r="C165" s="101"/>
    </row>
    <row r="166" spans="1:3" ht="15">
      <c r="A166" s="100">
        <v>3</v>
      </c>
      <c r="B166" s="102" t="s">
        <v>99</v>
      </c>
      <c r="C166" s="100">
        <v>24000</v>
      </c>
    </row>
    <row r="167" spans="1:3" ht="15.75" thickBot="1">
      <c r="A167" s="101"/>
      <c r="B167" s="103"/>
      <c r="C167" s="104"/>
    </row>
    <row r="168" spans="1:3" ht="15">
      <c r="A168" s="107">
        <v>4</v>
      </c>
      <c r="B168" s="110" t="s">
        <v>66</v>
      </c>
      <c r="C168" s="105">
        <v>83617</v>
      </c>
    </row>
    <row r="169" spans="1:3" ht="48" customHeight="1" thickBot="1">
      <c r="A169" s="108"/>
      <c r="B169" s="111"/>
      <c r="C169" s="106"/>
    </row>
    <row r="170" spans="1:3" ht="15">
      <c r="A170" s="107">
        <v>5</v>
      </c>
      <c r="B170" s="84" t="s">
        <v>67</v>
      </c>
      <c r="C170" s="104">
        <v>103681</v>
      </c>
    </row>
    <row r="171" spans="1:3" ht="43.5" customHeight="1" thickBot="1">
      <c r="A171" s="108"/>
      <c r="B171" s="86"/>
      <c r="C171" s="104"/>
    </row>
    <row r="172" spans="1:3" ht="15">
      <c r="A172" s="107">
        <v>6</v>
      </c>
      <c r="B172" s="110" t="s">
        <v>68</v>
      </c>
      <c r="C172" s="83">
        <f>(C162+C164+C166)/C170</f>
        <v>12.190935851313162</v>
      </c>
    </row>
    <row r="173" spans="1:3" ht="29.25" customHeight="1" thickBot="1">
      <c r="A173" s="108"/>
      <c r="B173" s="111"/>
      <c r="C173" s="83"/>
    </row>
    <row r="174" spans="1:3" ht="15">
      <c r="A174" s="107">
        <v>7</v>
      </c>
      <c r="B174" s="84" t="s">
        <v>69</v>
      </c>
      <c r="C174" s="109">
        <f>'зат.на оплату труд.'!E82+'зат.матер.'!E163</f>
        <v>159.0603224280553</v>
      </c>
    </row>
    <row r="175" spans="1:3" ht="48" customHeight="1" thickBot="1">
      <c r="A175" s="108"/>
      <c r="B175" s="86"/>
      <c r="C175" s="108"/>
    </row>
    <row r="176" spans="1:6" ht="18.75">
      <c r="A176" s="61">
        <v>8</v>
      </c>
      <c r="B176" s="5" t="s">
        <v>70</v>
      </c>
      <c r="C176" s="5">
        <f>C172*C174/1398</f>
        <v>1.3870487748280473</v>
      </c>
      <c r="D176">
        <v>160.45</v>
      </c>
      <c r="E176">
        <v>1398</v>
      </c>
      <c r="F176">
        <f>D176*E176</f>
        <v>224309.09999999998</v>
      </c>
    </row>
    <row r="177" spans="1:3" ht="15">
      <c r="A177" s="19"/>
      <c r="B177" s="19" t="s">
        <v>119</v>
      </c>
      <c r="C177" s="20">
        <f>C174+C176</f>
        <v>160.44737120288335</v>
      </c>
    </row>
    <row r="179" ht="15">
      <c r="B179" t="s">
        <v>163</v>
      </c>
    </row>
    <row r="180" ht="15">
      <c r="F180">
        <f>E70+D92+E114+E134+F156+F176</f>
        <v>2505562.5141899665</v>
      </c>
    </row>
    <row r="182" ht="15">
      <c r="B182" t="s">
        <v>159</v>
      </c>
    </row>
    <row r="183" ht="15">
      <c r="B183" t="s">
        <v>164</v>
      </c>
    </row>
  </sheetData>
  <sheetProtection/>
  <mergeCells count="164">
    <mergeCell ref="A172:A173"/>
    <mergeCell ref="B172:B173"/>
    <mergeCell ref="C172:C173"/>
    <mergeCell ref="A174:A175"/>
    <mergeCell ref="B174:B175"/>
    <mergeCell ref="C174:C175"/>
    <mergeCell ref="A168:A169"/>
    <mergeCell ref="B168:B169"/>
    <mergeCell ref="C168:C169"/>
    <mergeCell ref="A170:A171"/>
    <mergeCell ref="B170:B171"/>
    <mergeCell ref="C170:C171"/>
    <mergeCell ref="A164:A165"/>
    <mergeCell ref="B164:B165"/>
    <mergeCell ref="C164:C165"/>
    <mergeCell ref="A166:A167"/>
    <mergeCell ref="B166:B167"/>
    <mergeCell ref="C166:C167"/>
    <mergeCell ref="A159:C159"/>
    <mergeCell ref="A161:C161"/>
    <mergeCell ref="A162:A163"/>
    <mergeCell ref="B162:B163"/>
    <mergeCell ref="C162:C163"/>
    <mergeCell ref="A151:A152"/>
    <mergeCell ref="B151:B152"/>
    <mergeCell ref="C151:C152"/>
    <mergeCell ref="A153:A154"/>
    <mergeCell ref="B153:B154"/>
    <mergeCell ref="C153:C154"/>
    <mergeCell ref="A147:A148"/>
    <mergeCell ref="B147:B148"/>
    <mergeCell ref="C147:C148"/>
    <mergeCell ref="A149:A150"/>
    <mergeCell ref="B149:B150"/>
    <mergeCell ref="C149:C150"/>
    <mergeCell ref="A143:A144"/>
    <mergeCell ref="B143:B144"/>
    <mergeCell ref="C143:C144"/>
    <mergeCell ref="A145:A146"/>
    <mergeCell ref="B145:B146"/>
    <mergeCell ref="C145:C146"/>
    <mergeCell ref="A138:C138"/>
    <mergeCell ref="A140:C140"/>
    <mergeCell ref="A141:A142"/>
    <mergeCell ref="B141:B142"/>
    <mergeCell ref="C141:C142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7:C117"/>
    <mergeCell ref="A119:C119"/>
    <mergeCell ref="A120:A121"/>
    <mergeCell ref="B120:B121"/>
    <mergeCell ref="C120:C121"/>
    <mergeCell ref="A109:A110"/>
    <mergeCell ref="B109:B110"/>
    <mergeCell ref="C109:C110"/>
    <mergeCell ref="A111:A112"/>
    <mergeCell ref="B111:B112"/>
    <mergeCell ref="C111:C112"/>
    <mergeCell ref="A105:A106"/>
    <mergeCell ref="B105:B106"/>
    <mergeCell ref="C105:C106"/>
    <mergeCell ref="A107:A108"/>
    <mergeCell ref="B107:B108"/>
    <mergeCell ref="C107:C108"/>
    <mergeCell ref="A101:A102"/>
    <mergeCell ref="B101:B102"/>
    <mergeCell ref="C101:C102"/>
    <mergeCell ref="A103:A104"/>
    <mergeCell ref="B103:B104"/>
    <mergeCell ref="C103:C104"/>
    <mergeCell ref="A96:C96"/>
    <mergeCell ref="A98:C98"/>
    <mergeCell ref="A99:A100"/>
    <mergeCell ref="B99:B100"/>
    <mergeCell ref="C99:C100"/>
    <mergeCell ref="A88:A89"/>
    <mergeCell ref="B88:B89"/>
    <mergeCell ref="C88:C89"/>
    <mergeCell ref="A90:A91"/>
    <mergeCell ref="B90:B91"/>
    <mergeCell ref="C90:C91"/>
    <mergeCell ref="A84:A85"/>
    <mergeCell ref="B84:B85"/>
    <mergeCell ref="C84:C85"/>
    <mergeCell ref="A86:A87"/>
    <mergeCell ref="B86:B87"/>
    <mergeCell ref="C86:C87"/>
    <mergeCell ref="A80:A81"/>
    <mergeCell ref="B80:B81"/>
    <mergeCell ref="C80:C81"/>
    <mergeCell ref="A82:A83"/>
    <mergeCell ref="B82:B83"/>
    <mergeCell ref="C82:C83"/>
    <mergeCell ref="A75:C75"/>
    <mergeCell ref="A77:C77"/>
    <mergeCell ref="A78:A79"/>
    <mergeCell ref="B78:B79"/>
    <mergeCell ref="C78:C79"/>
    <mergeCell ref="A69:A70"/>
    <mergeCell ref="B69:B70"/>
    <mergeCell ref="C69:C70"/>
    <mergeCell ref="A54:C54"/>
    <mergeCell ref="A56:C56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2:C2"/>
    <mergeCell ref="A4:C4"/>
    <mergeCell ref="A18:A19"/>
    <mergeCell ref="B18:B19"/>
    <mergeCell ref="A8:A9"/>
    <mergeCell ref="B8:B9"/>
    <mergeCell ref="C8:C9"/>
    <mergeCell ref="A10:A11"/>
    <mergeCell ref="B10:B11"/>
    <mergeCell ref="C10:C11"/>
    <mergeCell ref="G18:J19"/>
    <mergeCell ref="C18:C19"/>
    <mergeCell ref="B26:C26"/>
    <mergeCell ref="A38:C38"/>
    <mergeCell ref="A12:A13"/>
    <mergeCell ref="B12:B13"/>
    <mergeCell ref="C12:C13"/>
    <mergeCell ref="C14:C15"/>
    <mergeCell ref="A20:A21"/>
    <mergeCell ref="B20:B21"/>
    <mergeCell ref="C20:C21"/>
    <mergeCell ref="A14:A15"/>
    <mergeCell ref="B14:B15"/>
    <mergeCell ref="C16:C17"/>
    <mergeCell ref="A16:A17"/>
    <mergeCell ref="B16:B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K22"/>
    </sheetView>
  </sheetViews>
  <sheetFormatPr defaultColWidth="9.140625" defaultRowHeight="15"/>
  <cols>
    <col min="1" max="1" width="26.140625" style="0" customWidth="1"/>
    <col min="2" max="2" width="19.57421875" style="0" customWidth="1"/>
    <col min="3" max="3" width="9.7109375" style="0" customWidth="1"/>
    <col min="4" max="4" width="9.00390625" style="0" customWidth="1"/>
    <col min="5" max="5" width="11.00390625" style="0" customWidth="1"/>
    <col min="6" max="6" width="7.00390625" style="0" customWidth="1"/>
    <col min="7" max="7" width="10.00390625" style="0" customWidth="1"/>
    <col min="8" max="8" width="13.28125" style="0" customWidth="1"/>
    <col min="9" max="9" width="10.28125" style="0" customWidth="1"/>
    <col min="10" max="10" width="9.00390625" style="0" customWidth="1"/>
    <col min="11" max="11" width="11.7109375" style="0" customWidth="1"/>
    <col min="12" max="12" width="20.00390625" style="0" customWidth="1"/>
    <col min="13" max="13" width="22.421875" style="0" customWidth="1"/>
    <col min="15" max="15" width="9.140625" style="0" customWidth="1"/>
  </cols>
  <sheetData>
    <row r="1" spans="1:11" ht="15">
      <c r="A1" s="115" t="s">
        <v>74</v>
      </c>
      <c r="B1" s="105" t="s">
        <v>75</v>
      </c>
      <c r="C1" s="97" t="s">
        <v>76</v>
      </c>
      <c r="D1" s="98"/>
      <c r="E1" s="98"/>
      <c r="F1" s="98"/>
      <c r="G1" s="98"/>
      <c r="H1" s="98"/>
      <c r="I1" s="98"/>
      <c r="J1" s="98"/>
      <c r="K1" s="99"/>
    </row>
    <row r="2" spans="1:11" ht="37.5" customHeight="1">
      <c r="A2" s="116"/>
      <c r="B2" s="117"/>
      <c r="C2" s="112" t="s">
        <v>22</v>
      </c>
      <c r="D2" s="113"/>
      <c r="E2" s="114"/>
      <c r="F2" s="112" t="s">
        <v>23</v>
      </c>
      <c r="G2" s="113"/>
      <c r="H2" s="114"/>
      <c r="I2" s="112" t="s">
        <v>21</v>
      </c>
      <c r="J2" s="113"/>
      <c r="K2" s="114"/>
    </row>
    <row r="3" spans="1:11" ht="37.5" customHeight="1">
      <c r="A3" s="116"/>
      <c r="B3" s="106"/>
      <c r="C3" s="29" t="s">
        <v>77</v>
      </c>
      <c r="D3" s="29" t="s">
        <v>113</v>
      </c>
      <c r="E3" s="29" t="s">
        <v>78</v>
      </c>
      <c r="F3" s="29" t="s">
        <v>77</v>
      </c>
      <c r="G3" s="29" t="s">
        <v>113</v>
      </c>
      <c r="H3" s="29" t="s">
        <v>78</v>
      </c>
      <c r="I3" s="29" t="s">
        <v>77</v>
      </c>
      <c r="J3" s="29" t="s">
        <v>113</v>
      </c>
      <c r="K3" s="29" t="s">
        <v>78</v>
      </c>
    </row>
    <row r="4" spans="1:11" ht="15.75">
      <c r="A4" s="40" t="s">
        <v>13</v>
      </c>
      <c r="B4" s="19">
        <v>1106</v>
      </c>
      <c r="C4" s="19">
        <v>70</v>
      </c>
      <c r="D4" s="20">
        <f>2620.1*70/100</f>
        <v>1834.07</v>
      </c>
      <c r="E4" s="19">
        <v>1106</v>
      </c>
      <c r="F4" s="19"/>
      <c r="G4" s="19"/>
      <c r="H4" s="19"/>
      <c r="I4" s="19"/>
      <c r="J4" s="19"/>
      <c r="K4" s="19"/>
    </row>
    <row r="5" spans="1:11" ht="15.75">
      <c r="A5" s="40" t="s">
        <v>14</v>
      </c>
      <c r="B5" s="19">
        <v>9034</v>
      </c>
      <c r="C5" s="19">
        <v>30</v>
      </c>
      <c r="D5" s="20">
        <f>2620.1*30/100</f>
        <v>786.03</v>
      </c>
      <c r="E5" s="19">
        <v>474</v>
      </c>
      <c r="F5" s="41">
        <f>H5/H15</f>
        <v>0.6892109500805152</v>
      </c>
      <c r="G5" s="20">
        <f>G15*F5</f>
        <v>25581.442834138485</v>
      </c>
      <c r="H5" s="19">
        <f>1712*3</f>
        <v>5136</v>
      </c>
      <c r="I5" s="41">
        <f>K5/K15</f>
        <v>0.6892109500805152</v>
      </c>
      <c r="J5" s="20">
        <f>J15*I5</f>
        <v>20886.896231884057</v>
      </c>
      <c r="K5" s="19">
        <f>1712*2</f>
        <v>3424</v>
      </c>
    </row>
    <row r="6" spans="1:11" ht="15.75">
      <c r="A6" s="40" t="s">
        <v>17</v>
      </c>
      <c r="B6" s="19">
        <v>824</v>
      </c>
      <c r="C6" s="19"/>
      <c r="D6" s="19"/>
      <c r="E6" s="19"/>
      <c r="F6" s="41">
        <f>H6/H15</f>
        <v>0.06629092860976919</v>
      </c>
      <c r="G6" s="20">
        <f>G15*F6</f>
        <v>2460.520397208803</v>
      </c>
      <c r="H6" s="19">
        <v>494</v>
      </c>
      <c r="I6" s="41">
        <f>K6/K15</f>
        <v>0.06642512077294686</v>
      </c>
      <c r="J6" s="20">
        <f>J15*I6</f>
        <v>2013.0478260869565</v>
      </c>
      <c r="K6" s="19">
        <f>B6-H6</f>
        <v>330</v>
      </c>
    </row>
    <row r="7" spans="1:11" ht="15.75">
      <c r="A7" s="40" t="s">
        <v>18</v>
      </c>
      <c r="B7" s="19">
        <v>1047</v>
      </c>
      <c r="C7" s="19"/>
      <c r="D7" s="19"/>
      <c r="E7" s="19"/>
      <c r="F7" s="41">
        <f>H7/H15</f>
        <v>0.08427267847557703</v>
      </c>
      <c r="G7" s="20">
        <f>G15*F7</f>
        <v>3127.9490069779927</v>
      </c>
      <c r="H7" s="19">
        <v>628</v>
      </c>
      <c r="I7" s="41">
        <f>K7/K15</f>
        <v>0.08433977455716586</v>
      </c>
      <c r="J7" s="20">
        <f>J15*I7</f>
        <v>2555.9607246376813</v>
      </c>
      <c r="K7" s="19">
        <f>B7-H7</f>
        <v>419</v>
      </c>
    </row>
    <row r="8" spans="1:11" ht="15.75">
      <c r="A8" s="40" t="s">
        <v>19</v>
      </c>
      <c r="B8" s="19">
        <v>591</v>
      </c>
      <c r="C8" s="19"/>
      <c r="D8" s="19"/>
      <c r="E8" s="19"/>
      <c r="F8" s="41">
        <f>H8/H15</f>
        <v>0.047638217928073004</v>
      </c>
      <c r="G8" s="20">
        <f>F8*G15</f>
        <v>1768.1877348362857</v>
      </c>
      <c r="H8" s="19">
        <v>355</v>
      </c>
      <c r="I8" s="41">
        <f>K8/K15</f>
        <v>0.04750402576489533</v>
      </c>
      <c r="J8" s="20">
        <f>J15*I8</f>
        <v>1439.634202898551</v>
      </c>
      <c r="K8" s="19">
        <f>B8-H8</f>
        <v>236</v>
      </c>
    </row>
    <row r="9" spans="1:11" ht="15.75">
      <c r="A9" s="40" t="s">
        <v>20</v>
      </c>
      <c r="B9" s="19">
        <v>1398</v>
      </c>
      <c r="C9" s="19"/>
      <c r="D9" s="19"/>
      <c r="E9" s="19"/>
      <c r="F9" s="41">
        <f>H9/H15</f>
        <v>0.11258722490606549</v>
      </c>
      <c r="G9" s="20">
        <f>F9*G15</f>
        <v>4178.9000268384325</v>
      </c>
      <c r="H9" s="19">
        <v>839</v>
      </c>
      <c r="I9" s="41">
        <f>K9/K15</f>
        <v>0.11252012882447665</v>
      </c>
      <c r="J9" s="20">
        <f>J15*I9</f>
        <v>3409.9810144927537</v>
      </c>
      <c r="K9" s="19">
        <f>B9-H9</f>
        <v>559</v>
      </c>
    </row>
    <row r="10" spans="1:11" ht="15">
      <c r="A10" s="19"/>
      <c r="B10" s="19"/>
      <c r="C10" s="19"/>
      <c r="D10" s="19"/>
      <c r="E10" s="19"/>
      <c r="F10" s="41"/>
      <c r="G10" s="20"/>
      <c r="H10" s="19"/>
      <c r="I10" s="41"/>
      <c r="J10" s="20"/>
      <c r="K10" s="19"/>
    </row>
    <row r="11" spans="1:11" ht="15">
      <c r="A11" s="19"/>
      <c r="B11" s="19"/>
      <c r="C11" s="19"/>
      <c r="D11" s="19"/>
      <c r="E11" s="19"/>
      <c r="F11" s="41"/>
      <c r="G11" s="20"/>
      <c r="H11" s="19"/>
      <c r="I11" s="41"/>
      <c r="J11" s="20"/>
      <c r="K11" s="19"/>
    </row>
    <row r="12" spans="1:11" ht="15">
      <c r="A12" s="19"/>
      <c r="B12" s="19"/>
      <c r="C12" s="19"/>
      <c r="D12" s="19"/>
      <c r="E12" s="19"/>
      <c r="F12" s="41"/>
      <c r="G12" s="20"/>
      <c r="H12" s="19"/>
      <c r="I12" s="41"/>
      <c r="J12" s="20"/>
      <c r="K12" s="19"/>
    </row>
    <row r="13" spans="1:11" ht="15">
      <c r="A13" s="19"/>
      <c r="B13" s="19"/>
      <c r="C13" s="19"/>
      <c r="D13" s="19"/>
      <c r="E13" s="19"/>
      <c r="F13" s="41"/>
      <c r="G13" s="20"/>
      <c r="H13" s="19"/>
      <c r="I13" s="41"/>
      <c r="J13" s="20"/>
      <c r="K13" s="19"/>
    </row>
    <row r="14" spans="1:11" ht="15">
      <c r="A14" s="19"/>
      <c r="B14" s="19"/>
      <c r="C14" s="19"/>
      <c r="D14" s="19"/>
      <c r="E14" s="19"/>
      <c r="F14" s="41"/>
      <c r="G14" s="20"/>
      <c r="H14" s="19"/>
      <c r="I14" s="41"/>
      <c r="J14" s="20"/>
      <c r="K14" s="19"/>
    </row>
    <row r="15" spans="1:11" ht="15">
      <c r="A15" s="19" t="s">
        <v>53</v>
      </c>
      <c r="B15" s="19"/>
      <c r="C15" s="19">
        <f>SUM(C4:C14)</f>
        <v>100</v>
      </c>
      <c r="D15" s="20">
        <f>SUM(D4:D14)</f>
        <v>2620.1</v>
      </c>
      <c r="E15" s="19">
        <f>SUM(E4:E14)</f>
        <v>1580</v>
      </c>
      <c r="F15" s="41">
        <f>SUM(F5:F14)</f>
        <v>1</v>
      </c>
      <c r="G15" s="20">
        <v>37117</v>
      </c>
      <c r="H15" s="19">
        <f>SUM(H4:H14)</f>
        <v>7452</v>
      </c>
      <c r="I15" s="41">
        <f>SUM(I5:I14)</f>
        <v>1</v>
      </c>
      <c r="J15" s="20">
        <v>30305.52</v>
      </c>
      <c r="K15" s="19">
        <f>SUM(K4:K14)</f>
        <v>4968</v>
      </c>
    </row>
    <row r="16" spans="4:10" ht="15">
      <c r="D16">
        <f>D4/E4</f>
        <v>1.6582911392405062</v>
      </c>
      <c r="G16">
        <f>G5/H5</f>
        <v>4.980810520665592</v>
      </c>
      <c r="J16">
        <f>J5/K5</f>
        <v>6.100144927536231</v>
      </c>
    </row>
    <row r="17" spans="4:7" ht="15">
      <c r="D17">
        <f>D5/E5</f>
        <v>1.6582911392405062</v>
      </c>
      <c r="G17">
        <f>G6/H6</f>
        <v>4.980810520665593</v>
      </c>
    </row>
    <row r="18" ht="15">
      <c r="G18">
        <f>G7/H7</f>
        <v>4.980810520665593</v>
      </c>
    </row>
    <row r="19" ht="15">
      <c r="G19">
        <f>G8/H8</f>
        <v>4.980810520665593</v>
      </c>
    </row>
    <row r="20" ht="15">
      <c r="G20">
        <f>G9/H9</f>
        <v>4.980810520665593</v>
      </c>
    </row>
  </sheetData>
  <sheetProtection/>
  <mergeCells count="6">
    <mergeCell ref="C2:E2"/>
    <mergeCell ref="F2:H2"/>
    <mergeCell ref="I2:K2"/>
    <mergeCell ref="A1:A3"/>
    <mergeCell ref="B1:B3"/>
    <mergeCell ref="C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6.00390625" style="0" customWidth="1"/>
    <col min="2" max="2" width="56.57421875" style="0" customWidth="1"/>
    <col min="3" max="3" width="22.140625" style="0" customWidth="1"/>
  </cols>
  <sheetData>
    <row r="1" spans="1:3" ht="15">
      <c r="A1" s="80"/>
      <c r="B1" s="80"/>
      <c r="C1" s="80"/>
    </row>
    <row r="2" spans="1:3" ht="15">
      <c r="A2" s="80"/>
      <c r="B2" s="81" t="s">
        <v>161</v>
      </c>
      <c r="C2" s="80"/>
    </row>
    <row r="3" spans="1:3" ht="15">
      <c r="A3" s="80"/>
      <c r="B3" s="81" t="s">
        <v>166</v>
      </c>
      <c r="C3" s="80"/>
    </row>
    <row r="5" spans="1:4" ht="15.75">
      <c r="A5" s="91" t="s">
        <v>121</v>
      </c>
      <c r="B5" s="91"/>
      <c r="C5" s="91"/>
      <c r="D5" s="91"/>
    </row>
    <row r="6" spans="1:3" ht="15.75">
      <c r="A6" s="91" t="s">
        <v>122</v>
      </c>
      <c r="B6" s="91"/>
      <c r="C6" s="91"/>
    </row>
    <row r="7" spans="1:2" ht="15.75">
      <c r="A7" s="37" t="s">
        <v>25</v>
      </c>
      <c r="B7" s="40" t="s">
        <v>13</v>
      </c>
    </row>
    <row r="8" spans="1:3" ht="18.75">
      <c r="A8" s="92" t="s">
        <v>2</v>
      </c>
      <c r="B8" s="92"/>
      <c r="C8" s="92"/>
    </row>
    <row r="9" ht="16.5" thickBot="1">
      <c r="A9" s="3"/>
    </row>
    <row r="10" spans="1:3" ht="19.5" thickBot="1">
      <c r="A10" s="63"/>
      <c r="B10" s="64" t="s">
        <v>123</v>
      </c>
      <c r="C10" s="65" t="s">
        <v>124</v>
      </c>
    </row>
    <row r="11" spans="1:3" ht="59.25" customHeight="1">
      <c r="A11" s="84">
        <v>1</v>
      </c>
      <c r="B11" s="84" t="s">
        <v>125</v>
      </c>
      <c r="C11" s="118">
        <f>'зат.на оплату труд.'!E13</f>
        <v>136.9445354824267</v>
      </c>
    </row>
    <row r="12" spans="1:3" ht="15.75" thickBot="1">
      <c r="A12" s="86"/>
      <c r="B12" s="86"/>
      <c r="C12" s="119"/>
    </row>
    <row r="13" spans="1:3" ht="19.5" thickBot="1">
      <c r="A13" s="35">
        <v>2</v>
      </c>
      <c r="B13" s="6" t="s">
        <v>126</v>
      </c>
      <c r="C13" s="68">
        <f>'зат.матер.'!E32</f>
        <v>9.211573236889693</v>
      </c>
    </row>
    <row r="14" spans="1:3" ht="57" thickBot="1">
      <c r="A14" s="35">
        <v>3</v>
      </c>
      <c r="B14" s="6" t="s">
        <v>127</v>
      </c>
      <c r="C14" s="67"/>
    </row>
    <row r="15" spans="1:3" ht="19.5" thickBot="1">
      <c r="A15" s="35">
        <v>4</v>
      </c>
      <c r="B15" s="6" t="s">
        <v>128</v>
      </c>
      <c r="C15" s="68">
        <f>'расч.нак.расх'!C71</f>
        <v>1.102840565658998</v>
      </c>
    </row>
    <row r="16" spans="1:3" ht="21.75" customHeight="1">
      <c r="A16" s="84">
        <v>7</v>
      </c>
      <c r="B16" s="84" t="s">
        <v>129</v>
      </c>
      <c r="C16" s="118">
        <f>C11+C13+C15</f>
        <v>147.2589492849754</v>
      </c>
    </row>
    <row r="17" spans="1:3" ht="15.75" thickBot="1">
      <c r="A17" s="86"/>
      <c r="B17" s="86"/>
      <c r="C17" s="119"/>
    </row>
    <row r="18" spans="1:3" ht="19.5" thickBot="1">
      <c r="A18" s="35">
        <v>8</v>
      </c>
      <c r="B18" s="6" t="s">
        <v>130</v>
      </c>
      <c r="C18" s="67"/>
    </row>
    <row r="20" spans="1:3" ht="15.75">
      <c r="A20" s="91" t="s">
        <v>121</v>
      </c>
      <c r="B20" s="91"/>
      <c r="C20" s="91"/>
    </row>
    <row r="21" spans="1:3" ht="15.75">
      <c r="A21" s="91" t="s">
        <v>122</v>
      </c>
      <c r="B21" s="91"/>
      <c r="C21" s="91"/>
    </row>
    <row r="22" spans="1:2" ht="15.75">
      <c r="A22" s="37" t="s">
        <v>25</v>
      </c>
      <c r="B22" s="40" t="s">
        <v>14</v>
      </c>
    </row>
    <row r="23" spans="1:3" ht="18.75">
      <c r="A23" s="92" t="s">
        <v>2</v>
      </c>
      <c r="B23" s="92"/>
      <c r="C23" s="92"/>
    </row>
    <row r="24" ht="16.5" thickBot="1">
      <c r="A24" s="3"/>
    </row>
    <row r="25" spans="1:3" ht="19.5" thickBot="1">
      <c r="A25" s="63"/>
      <c r="B25" s="64" t="s">
        <v>123</v>
      </c>
      <c r="C25" s="65" t="s">
        <v>124</v>
      </c>
    </row>
    <row r="26" spans="1:3" ht="21.75" customHeight="1">
      <c r="A26" s="84">
        <v>1</v>
      </c>
      <c r="B26" s="84" t="s">
        <v>125</v>
      </c>
      <c r="C26" s="118">
        <f>'зат.на оплату труд.'!E27</f>
        <v>181.97</v>
      </c>
    </row>
    <row r="27" spans="1:3" ht="34.5" customHeight="1" thickBot="1">
      <c r="A27" s="86"/>
      <c r="B27" s="86"/>
      <c r="C27" s="119"/>
    </row>
    <row r="28" spans="1:3" ht="36" customHeight="1" thickBot="1">
      <c r="A28" s="35">
        <v>2</v>
      </c>
      <c r="B28" s="6" t="s">
        <v>126</v>
      </c>
      <c r="C28" s="68">
        <f>'зат.матер.'!E58</f>
        <v>7.90856763338499</v>
      </c>
    </row>
    <row r="29" spans="1:3" ht="75.75" customHeight="1" thickBot="1">
      <c r="A29" s="35">
        <v>3</v>
      </c>
      <c r="B29" s="6" t="s">
        <v>127</v>
      </c>
      <c r="C29" s="67"/>
    </row>
    <row r="30" spans="1:3" ht="38.25" customHeight="1" thickBot="1">
      <c r="A30" s="35">
        <v>4</v>
      </c>
      <c r="B30" s="6" t="s">
        <v>128</v>
      </c>
      <c r="C30" s="68">
        <f>'расч.нак.расх'!C92</f>
        <v>0.038467809847829014</v>
      </c>
    </row>
    <row r="31" spans="1:3" ht="15">
      <c r="A31" s="84">
        <v>7</v>
      </c>
      <c r="B31" s="84" t="s">
        <v>129</v>
      </c>
      <c r="C31" s="118">
        <f>C26+C28+C30</f>
        <v>189.9170354432328</v>
      </c>
    </row>
    <row r="32" spans="1:3" ht="35.25" customHeight="1" thickBot="1">
      <c r="A32" s="86"/>
      <c r="B32" s="86"/>
      <c r="C32" s="119"/>
    </row>
    <row r="33" spans="1:3" ht="19.5" thickBot="1">
      <c r="A33" s="35">
        <v>8</v>
      </c>
      <c r="B33" s="6" t="s">
        <v>130</v>
      </c>
      <c r="C33" s="67"/>
    </row>
    <row r="34" spans="1:3" ht="18.75">
      <c r="A34" s="56"/>
      <c r="B34" s="56"/>
      <c r="C34" s="76"/>
    </row>
    <row r="36" spans="1:3" ht="15.75">
      <c r="A36" s="91" t="s">
        <v>121</v>
      </c>
      <c r="B36" s="91"/>
      <c r="C36" s="91"/>
    </row>
    <row r="37" spans="1:3" ht="15.75">
      <c r="A37" s="91" t="s">
        <v>122</v>
      </c>
      <c r="B37" s="91"/>
      <c r="C37" s="91"/>
    </row>
    <row r="38" spans="1:2" ht="15.75">
      <c r="A38" s="37" t="s">
        <v>25</v>
      </c>
      <c r="B38" s="40" t="s">
        <v>17</v>
      </c>
    </row>
    <row r="39" spans="1:3" ht="18.75">
      <c r="A39" s="92" t="s">
        <v>2</v>
      </c>
      <c r="B39" s="92"/>
      <c r="C39" s="92"/>
    </row>
    <row r="40" ht="16.5" thickBot="1">
      <c r="A40" s="3"/>
    </row>
    <row r="41" spans="1:3" ht="19.5" thickBot="1">
      <c r="A41" s="63"/>
      <c r="B41" s="64" t="s">
        <v>123</v>
      </c>
      <c r="C41" s="65" t="s">
        <v>124</v>
      </c>
    </row>
    <row r="42" spans="1:3" ht="21.75" customHeight="1">
      <c r="A42" s="84">
        <v>1</v>
      </c>
      <c r="B42" s="84" t="s">
        <v>125</v>
      </c>
      <c r="C42" s="118">
        <f>'зат.на оплату труд.'!E41</f>
        <v>151.38935527199462</v>
      </c>
    </row>
    <row r="43" spans="1:3" ht="29.25" customHeight="1" thickBot="1">
      <c r="A43" s="86"/>
      <c r="B43" s="86"/>
      <c r="C43" s="119"/>
    </row>
    <row r="44" spans="1:3" ht="30" customHeight="1" thickBot="1">
      <c r="A44" s="35">
        <v>2</v>
      </c>
      <c r="B44" s="6" t="s">
        <v>126</v>
      </c>
      <c r="C44" s="68">
        <f>'зат.матер.'!E85</f>
        <v>7.817961165048544</v>
      </c>
    </row>
    <row r="45" spans="1:3" ht="74.25" customHeight="1" thickBot="1">
      <c r="A45" s="35">
        <v>3</v>
      </c>
      <c r="B45" s="6" t="s">
        <v>127</v>
      </c>
      <c r="C45" s="67"/>
    </row>
    <row r="46" spans="1:3" ht="25.5" customHeight="1" thickBot="1">
      <c r="A46" s="35">
        <v>4</v>
      </c>
      <c r="B46" s="6" t="s">
        <v>128</v>
      </c>
      <c r="C46" s="68">
        <f>'расч.нак.расх'!C113</f>
        <v>3.9957334040890222</v>
      </c>
    </row>
    <row r="47" spans="1:3" ht="15">
      <c r="A47" s="84">
        <v>7</v>
      </c>
      <c r="B47" s="84" t="s">
        <v>129</v>
      </c>
      <c r="C47" s="118">
        <f>C42+C44+C46</f>
        <v>163.20304984113218</v>
      </c>
    </row>
    <row r="48" spans="1:3" ht="15.75" thickBot="1">
      <c r="A48" s="86"/>
      <c r="B48" s="86"/>
      <c r="C48" s="119"/>
    </row>
    <row r="49" spans="1:3" ht="19.5" thickBot="1">
      <c r="A49" s="35">
        <v>8</v>
      </c>
      <c r="B49" s="6" t="s">
        <v>130</v>
      </c>
      <c r="C49" s="67"/>
    </row>
    <row r="52" spans="1:3" ht="15.75">
      <c r="A52" s="91" t="s">
        <v>121</v>
      </c>
      <c r="B52" s="91"/>
      <c r="C52" s="91"/>
    </row>
    <row r="53" spans="1:3" ht="15.75">
      <c r="A53" s="91" t="s">
        <v>122</v>
      </c>
      <c r="B53" s="91"/>
      <c r="C53" s="91"/>
    </row>
    <row r="54" spans="1:2" ht="15.75">
      <c r="A54" s="37" t="s">
        <v>25</v>
      </c>
      <c r="B54" s="40" t="s">
        <v>18</v>
      </c>
    </row>
    <row r="55" spans="1:3" ht="18.75">
      <c r="A55" s="92" t="s">
        <v>2</v>
      </c>
      <c r="B55" s="92"/>
      <c r="C55" s="92"/>
    </row>
    <row r="56" ht="16.5" thickBot="1">
      <c r="A56" s="3"/>
    </row>
    <row r="57" spans="1:3" ht="19.5" thickBot="1">
      <c r="A57" s="63"/>
      <c r="B57" s="64" t="s">
        <v>123</v>
      </c>
      <c r="C57" s="65" t="s">
        <v>124</v>
      </c>
    </row>
    <row r="58" spans="1:3" ht="21.75" customHeight="1">
      <c r="A58" s="84">
        <v>1</v>
      </c>
      <c r="B58" s="84" t="s">
        <v>125</v>
      </c>
      <c r="C58" s="118">
        <f>'зат.на оплату труд.'!E55</f>
        <v>151.3886486083128</v>
      </c>
    </row>
    <row r="59" spans="1:3" ht="27" customHeight="1" thickBot="1">
      <c r="A59" s="86"/>
      <c r="B59" s="86"/>
      <c r="C59" s="119"/>
    </row>
    <row r="60" spans="1:3" ht="27.75" customHeight="1" thickBot="1">
      <c r="A60" s="35">
        <v>2</v>
      </c>
      <c r="B60" s="6" t="s">
        <v>126</v>
      </c>
      <c r="C60" s="68">
        <f>'зат.матер.'!E111</f>
        <v>8.194842406876791</v>
      </c>
    </row>
    <row r="61" spans="1:3" ht="63" customHeight="1" thickBot="1">
      <c r="A61" s="35">
        <v>3</v>
      </c>
      <c r="B61" s="6" t="s">
        <v>127</v>
      </c>
      <c r="C61" s="67"/>
    </row>
    <row r="62" spans="1:3" ht="30" customHeight="1" thickBot="1">
      <c r="A62" s="35">
        <v>4</v>
      </c>
      <c r="B62" s="6" t="s">
        <v>128</v>
      </c>
      <c r="C62" s="68">
        <f>'расч.нак.расх'!C134</f>
        <v>2.4808977312533678</v>
      </c>
    </row>
    <row r="63" spans="1:3" ht="15">
      <c r="A63" s="84">
        <v>7</v>
      </c>
      <c r="B63" s="84" t="s">
        <v>129</v>
      </c>
      <c r="C63" s="118">
        <f>C58+C60+C62</f>
        <v>162.06438874644297</v>
      </c>
    </row>
    <row r="64" spans="1:3" ht="15.75" thickBot="1">
      <c r="A64" s="86"/>
      <c r="B64" s="86"/>
      <c r="C64" s="119"/>
    </row>
    <row r="65" spans="1:3" ht="19.5" thickBot="1">
      <c r="A65" s="35">
        <v>8</v>
      </c>
      <c r="B65" s="6" t="s">
        <v>130</v>
      </c>
      <c r="C65" s="67"/>
    </row>
    <row r="66" spans="1:3" ht="18.75">
      <c r="A66" s="56"/>
      <c r="B66" s="56"/>
      <c r="C66" s="76"/>
    </row>
    <row r="67" spans="1:3" ht="18.75">
      <c r="A67" s="56"/>
      <c r="B67" s="56"/>
      <c r="C67" s="76"/>
    </row>
    <row r="68" spans="1:3" ht="18.75">
      <c r="A68" s="56"/>
      <c r="B68" s="56"/>
      <c r="C68" s="76"/>
    </row>
    <row r="69" spans="1:3" ht="18.75">
      <c r="A69" s="56"/>
      <c r="B69" s="56"/>
      <c r="C69" s="76"/>
    </row>
    <row r="70" spans="1:3" ht="18.75">
      <c r="A70" s="56"/>
      <c r="B70" s="56"/>
      <c r="C70" s="76"/>
    </row>
    <row r="71" spans="1:3" ht="18.75">
      <c r="A71" s="56"/>
      <c r="B71" s="56"/>
      <c r="C71" s="76"/>
    </row>
    <row r="73" spans="1:3" ht="15.75">
      <c r="A73" s="91" t="s">
        <v>121</v>
      </c>
      <c r="B73" s="91"/>
      <c r="C73" s="91"/>
    </row>
    <row r="74" spans="1:3" ht="15.75">
      <c r="A74" s="91" t="s">
        <v>122</v>
      </c>
      <c r="B74" s="91"/>
      <c r="C74" s="91"/>
    </row>
    <row r="75" spans="1:2" ht="15.75">
      <c r="A75" s="37" t="s">
        <v>25</v>
      </c>
      <c r="B75" s="40" t="s">
        <v>19</v>
      </c>
    </row>
    <row r="76" spans="1:3" ht="18.75">
      <c r="A76" s="92" t="s">
        <v>2</v>
      </c>
      <c r="B76" s="92"/>
      <c r="C76" s="92"/>
    </row>
    <row r="77" ht="16.5" thickBot="1">
      <c r="A77" s="3"/>
    </row>
    <row r="78" spans="1:3" ht="19.5" thickBot="1">
      <c r="A78" s="63"/>
      <c r="B78" s="64" t="s">
        <v>123</v>
      </c>
      <c r="C78" s="65" t="s">
        <v>124</v>
      </c>
    </row>
    <row r="79" spans="1:3" ht="21.75" customHeight="1">
      <c r="A79" s="84">
        <v>1</v>
      </c>
      <c r="B79" s="84" t="s">
        <v>125</v>
      </c>
      <c r="C79" s="118">
        <f>'зат.на оплату труд.'!E69</f>
        <v>151.3886486083128</v>
      </c>
    </row>
    <row r="80" spans="1:3" ht="30.75" customHeight="1" thickBot="1">
      <c r="A80" s="86"/>
      <c r="B80" s="86"/>
      <c r="C80" s="119"/>
    </row>
    <row r="81" spans="1:3" ht="29.25" customHeight="1" thickBot="1">
      <c r="A81" s="35">
        <v>2</v>
      </c>
      <c r="B81" s="6" t="s">
        <v>126</v>
      </c>
      <c r="C81" s="68">
        <f>'зат.матер.'!E137</f>
        <v>7.5456852791878175</v>
      </c>
    </row>
    <row r="82" spans="1:3" ht="64.5" customHeight="1" thickBot="1">
      <c r="A82" s="35">
        <v>3</v>
      </c>
      <c r="B82" s="6" t="s">
        <v>127</v>
      </c>
      <c r="C82" s="67"/>
    </row>
    <row r="83" spans="1:3" ht="32.25" customHeight="1" thickBot="1">
      <c r="A83" s="35">
        <v>4</v>
      </c>
      <c r="B83" s="6" t="s">
        <v>128</v>
      </c>
      <c r="C83" s="68">
        <f>'расч.нак.расх'!C155</f>
        <v>7.755945223669578</v>
      </c>
    </row>
    <row r="84" spans="1:3" ht="15">
      <c r="A84" s="84">
        <v>7</v>
      </c>
      <c r="B84" s="84" t="s">
        <v>129</v>
      </c>
      <c r="C84" s="118">
        <f>C79+C81+C83</f>
        <v>166.69027911117018</v>
      </c>
    </row>
    <row r="85" spans="1:3" ht="15.75" thickBot="1">
      <c r="A85" s="86"/>
      <c r="B85" s="86"/>
      <c r="C85" s="119"/>
    </row>
    <row r="86" spans="1:3" ht="19.5" thickBot="1">
      <c r="A86" s="35">
        <v>8</v>
      </c>
      <c r="B86" s="6" t="s">
        <v>130</v>
      </c>
      <c r="C86" s="67"/>
    </row>
    <row r="89" spans="1:3" ht="15.75">
      <c r="A89" s="91" t="s">
        <v>121</v>
      </c>
      <c r="B89" s="91"/>
      <c r="C89" s="91"/>
    </row>
    <row r="90" spans="1:3" ht="15.75">
      <c r="A90" s="91" t="s">
        <v>122</v>
      </c>
      <c r="B90" s="91"/>
      <c r="C90" s="91"/>
    </row>
    <row r="91" spans="1:2" ht="15.75">
      <c r="A91" s="37" t="s">
        <v>25</v>
      </c>
      <c r="B91" s="40" t="s">
        <v>20</v>
      </c>
    </row>
    <row r="92" spans="1:3" ht="18.75">
      <c r="A92" s="92" t="s">
        <v>2</v>
      </c>
      <c r="B92" s="92"/>
      <c r="C92" s="92"/>
    </row>
    <row r="93" ht="16.5" thickBot="1">
      <c r="A93" s="3"/>
    </row>
    <row r="94" spans="1:3" ht="19.5" thickBot="1">
      <c r="A94" s="63"/>
      <c r="B94" s="64" t="s">
        <v>123</v>
      </c>
      <c r="C94" s="65" t="s">
        <v>124</v>
      </c>
    </row>
    <row r="95" spans="1:3" ht="21.75" customHeight="1">
      <c r="A95" s="84">
        <v>1</v>
      </c>
      <c r="B95" s="84" t="s">
        <v>125</v>
      </c>
      <c r="C95" s="118">
        <f>'зат.на оплату труд.'!E82</f>
        <v>151.3886486083128</v>
      </c>
    </row>
    <row r="96" spans="1:3" ht="27" customHeight="1" thickBot="1">
      <c r="A96" s="86"/>
      <c r="B96" s="86"/>
      <c r="C96" s="119"/>
    </row>
    <row r="97" spans="1:3" ht="30" customHeight="1" thickBot="1">
      <c r="A97" s="35">
        <v>2</v>
      </c>
      <c r="B97" s="6" t="s">
        <v>126</v>
      </c>
      <c r="C97" s="68">
        <f>'зат.матер.'!E163</f>
        <v>7.671673819742489</v>
      </c>
    </row>
    <row r="98" spans="1:3" ht="66" customHeight="1" thickBot="1">
      <c r="A98" s="35">
        <v>3</v>
      </c>
      <c r="B98" s="6" t="s">
        <v>127</v>
      </c>
      <c r="C98" s="67"/>
    </row>
    <row r="99" spans="1:3" ht="28.5" customHeight="1" thickBot="1">
      <c r="A99" s="35">
        <v>4</v>
      </c>
      <c r="B99" s="6" t="s">
        <v>128</v>
      </c>
      <c r="C99" s="68">
        <f>'расч.нак.расх'!C176</f>
        <v>1.3870487748280473</v>
      </c>
    </row>
    <row r="100" spans="1:3" ht="15">
      <c r="A100" s="84">
        <v>7</v>
      </c>
      <c r="B100" s="84" t="s">
        <v>129</v>
      </c>
      <c r="C100" s="118">
        <f>C95+C97+C99</f>
        <v>160.44737120288335</v>
      </c>
    </row>
    <row r="101" spans="1:3" ht="18" customHeight="1" thickBot="1">
      <c r="A101" s="86"/>
      <c r="B101" s="86"/>
      <c r="C101" s="119"/>
    </row>
    <row r="102" spans="1:3" ht="19.5" thickBot="1">
      <c r="A102" s="35">
        <v>8</v>
      </c>
      <c r="B102" s="6" t="s">
        <v>130</v>
      </c>
      <c r="C102" s="67"/>
    </row>
    <row r="106" ht="15">
      <c r="B106" t="s">
        <v>165</v>
      </c>
    </row>
    <row r="109" ht="15">
      <c r="B109" t="s">
        <v>159</v>
      </c>
    </row>
    <row r="110" ht="15">
      <c r="B110" t="s">
        <v>160</v>
      </c>
    </row>
  </sheetData>
  <sheetProtection/>
  <mergeCells count="54">
    <mergeCell ref="A63:A64"/>
    <mergeCell ref="B63:B64"/>
    <mergeCell ref="C63:C64"/>
    <mergeCell ref="A84:A85"/>
    <mergeCell ref="B84:B85"/>
    <mergeCell ref="C84:C85"/>
    <mergeCell ref="A73:C73"/>
    <mergeCell ref="A74:C74"/>
    <mergeCell ref="A76:C76"/>
    <mergeCell ref="A95:A96"/>
    <mergeCell ref="B95:B96"/>
    <mergeCell ref="C95:C96"/>
    <mergeCell ref="A100:A101"/>
    <mergeCell ref="B100:B101"/>
    <mergeCell ref="C100:C101"/>
    <mergeCell ref="A89:C89"/>
    <mergeCell ref="A90:C90"/>
    <mergeCell ref="A92:C92"/>
    <mergeCell ref="A79:A80"/>
    <mergeCell ref="B79:B80"/>
    <mergeCell ref="C79:C80"/>
    <mergeCell ref="A47:A48"/>
    <mergeCell ref="B47:B48"/>
    <mergeCell ref="C47:C48"/>
    <mergeCell ref="A58:A59"/>
    <mergeCell ref="B58:B59"/>
    <mergeCell ref="C58:C59"/>
    <mergeCell ref="A52:C52"/>
    <mergeCell ref="A53:C53"/>
    <mergeCell ref="A55:C55"/>
    <mergeCell ref="A31:A32"/>
    <mergeCell ref="B31:B32"/>
    <mergeCell ref="C31:C32"/>
    <mergeCell ref="A42:A43"/>
    <mergeCell ref="B42:B43"/>
    <mergeCell ref="C42:C43"/>
    <mergeCell ref="A39:C39"/>
    <mergeCell ref="A37:C37"/>
    <mergeCell ref="A36:C36"/>
    <mergeCell ref="A5:D5"/>
    <mergeCell ref="A6:C6"/>
    <mergeCell ref="A8:C8"/>
    <mergeCell ref="A26:A27"/>
    <mergeCell ref="B26:B27"/>
    <mergeCell ref="C26:C27"/>
    <mergeCell ref="A23:C23"/>
    <mergeCell ref="A21:C21"/>
    <mergeCell ref="A11:A12"/>
    <mergeCell ref="B11:B12"/>
    <mergeCell ref="C11:C12"/>
    <mergeCell ref="A16:A17"/>
    <mergeCell ref="B16:B17"/>
    <mergeCell ref="C16:C17"/>
    <mergeCell ref="A20:C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zoomScalePageLayoutView="0" workbookViewId="0" topLeftCell="A1">
      <selection activeCell="A46" sqref="A46:A47"/>
    </sheetView>
  </sheetViews>
  <sheetFormatPr defaultColWidth="9.140625" defaultRowHeight="15"/>
  <cols>
    <col min="1" max="1" width="34.28125" style="0" customWidth="1"/>
    <col min="2" max="2" width="17.28125" style="0" customWidth="1"/>
    <col min="3" max="3" width="19.8515625" style="0" customWidth="1"/>
  </cols>
  <sheetData>
    <row r="1" spans="1:3" ht="15">
      <c r="A1" s="80"/>
      <c r="B1" s="80"/>
      <c r="C1" s="80"/>
    </row>
    <row r="2" spans="1:3" ht="15">
      <c r="A2" s="81" t="s">
        <v>161</v>
      </c>
      <c r="B2" s="81"/>
      <c r="C2" s="80"/>
    </row>
    <row r="3" spans="1:3" ht="15">
      <c r="A3" s="81" t="s">
        <v>167</v>
      </c>
      <c r="B3" s="81"/>
      <c r="C3" s="80"/>
    </row>
    <row r="4" spans="1:3" ht="18.75">
      <c r="A4" s="82"/>
      <c r="B4" s="80"/>
      <c r="C4" s="80"/>
    </row>
    <row r="5" ht="18.75">
      <c r="A5" s="36" t="s">
        <v>131</v>
      </c>
    </row>
    <row r="6" spans="1:3" ht="18.75">
      <c r="A6" s="92" t="s">
        <v>132</v>
      </c>
      <c r="B6" s="92"/>
      <c r="C6" s="92"/>
    </row>
    <row r="7" ht="15.75">
      <c r="A7" s="40" t="s">
        <v>13</v>
      </c>
    </row>
    <row r="8" spans="1:3" ht="18.75">
      <c r="A8" s="92" t="s">
        <v>2</v>
      </c>
      <c r="B8" s="92"/>
      <c r="C8" s="92"/>
    </row>
    <row r="9" ht="19.5" thickBot="1">
      <c r="A9" s="69"/>
    </row>
    <row r="10" spans="1:3" ht="57" thickBot="1">
      <c r="A10" s="70" t="s">
        <v>133</v>
      </c>
      <c r="B10" s="64" t="s">
        <v>134</v>
      </c>
      <c r="C10" s="64" t="s">
        <v>135</v>
      </c>
    </row>
    <row r="11" spans="1:3" ht="19.5" thickBot="1">
      <c r="A11" s="9" t="s">
        <v>144</v>
      </c>
      <c r="B11" s="6" t="s">
        <v>136</v>
      </c>
      <c r="C11" s="6">
        <v>70</v>
      </c>
    </row>
    <row r="12" spans="1:3" ht="19.5" thickBot="1">
      <c r="A12" s="35"/>
      <c r="B12" s="66"/>
      <c r="C12" s="66"/>
    </row>
    <row r="13" spans="1:3" ht="19.5" thickBot="1">
      <c r="A13" s="35" t="s">
        <v>10</v>
      </c>
      <c r="B13" s="66"/>
      <c r="C13" s="66"/>
    </row>
    <row r="15" ht="18.75">
      <c r="A15" s="36" t="s">
        <v>131</v>
      </c>
    </row>
    <row r="16" spans="1:3" ht="18.75">
      <c r="A16" s="92" t="s">
        <v>132</v>
      </c>
      <c r="B16" s="92"/>
      <c r="C16" s="92"/>
    </row>
    <row r="17" ht="15.75">
      <c r="A17" s="40" t="s">
        <v>14</v>
      </c>
    </row>
    <row r="18" spans="1:3" ht="18.75">
      <c r="A18" s="92" t="s">
        <v>2</v>
      </c>
      <c r="B18" s="92"/>
      <c r="C18" s="92"/>
    </row>
    <row r="19" ht="19.5" thickBot="1">
      <c r="A19" s="69"/>
    </row>
    <row r="20" spans="1:3" ht="57" thickBot="1">
      <c r="A20" s="70" t="s">
        <v>133</v>
      </c>
      <c r="B20" s="64" t="s">
        <v>134</v>
      </c>
      <c r="C20" s="64" t="s">
        <v>135</v>
      </c>
    </row>
    <row r="21" spans="1:3" ht="19.5" thickBot="1">
      <c r="A21" s="9" t="s">
        <v>146</v>
      </c>
      <c r="B21" s="6" t="s">
        <v>136</v>
      </c>
      <c r="C21" s="6">
        <v>60</v>
      </c>
    </row>
    <row r="22" spans="1:3" ht="19.5" thickBot="1">
      <c r="A22" s="9" t="s">
        <v>87</v>
      </c>
      <c r="B22" s="66" t="s">
        <v>136</v>
      </c>
      <c r="C22" s="66">
        <v>40</v>
      </c>
    </row>
    <row r="23" spans="1:3" ht="19.5" thickBot="1">
      <c r="A23" s="9" t="s">
        <v>88</v>
      </c>
      <c r="B23" s="66" t="s">
        <v>136</v>
      </c>
      <c r="C23" s="66">
        <v>40</v>
      </c>
    </row>
    <row r="25" ht="18.75">
      <c r="A25" s="36" t="s">
        <v>131</v>
      </c>
    </row>
    <row r="26" spans="1:3" ht="18.75">
      <c r="A26" s="92" t="s">
        <v>132</v>
      </c>
      <c r="B26" s="92"/>
      <c r="C26" s="92"/>
    </row>
    <row r="27" ht="15.75">
      <c r="A27" s="40" t="s">
        <v>17</v>
      </c>
    </row>
    <row r="28" spans="1:3" ht="18.75">
      <c r="A28" s="92" t="s">
        <v>2</v>
      </c>
      <c r="B28" s="92"/>
      <c r="C28" s="92"/>
    </row>
    <row r="29" ht="19.5" thickBot="1">
      <c r="A29" s="69"/>
    </row>
    <row r="30" spans="1:3" ht="57" thickBot="1">
      <c r="A30" s="70" t="s">
        <v>133</v>
      </c>
      <c r="B30" s="64" t="s">
        <v>134</v>
      </c>
      <c r="C30" s="64" t="s">
        <v>135</v>
      </c>
    </row>
    <row r="31" spans="1:3" ht="19.5" thickBot="1">
      <c r="A31" s="9" t="s">
        <v>87</v>
      </c>
      <c r="B31" s="6" t="s">
        <v>136</v>
      </c>
      <c r="C31" s="6">
        <v>40</v>
      </c>
    </row>
    <row r="32" spans="1:3" ht="19.5" thickBot="1">
      <c r="A32" s="9" t="s">
        <v>88</v>
      </c>
      <c r="B32" s="66" t="s">
        <v>136</v>
      </c>
      <c r="C32" s="66">
        <v>40</v>
      </c>
    </row>
    <row r="33" spans="1:3" ht="19.5" thickBot="1">
      <c r="A33" s="35" t="s">
        <v>10</v>
      </c>
      <c r="B33" s="66"/>
      <c r="C33" s="66"/>
    </row>
    <row r="37" ht="18.75">
      <c r="A37" s="36" t="s">
        <v>131</v>
      </c>
    </row>
    <row r="38" spans="1:3" ht="18.75">
      <c r="A38" s="92" t="s">
        <v>132</v>
      </c>
      <c r="B38" s="92"/>
      <c r="C38" s="92"/>
    </row>
    <row r="39" ht="15.75">
      <c r="A39" s="40" t="s">
        <v>18</v>
      </c>
    </row>
    <row r="40" spans="1:3" ht="18.75">
      <c r="A40" s="92" t="s">
        <v>2</v>
      </c>
      <c r="B40" s="92"/>
      <c r="C40" s="92"/>
    </row>
    <row r="41" ht="19.5" thickBot="1">
      <c r="A41" s="69"/>
    </row>
    <row r="42" spans="1:3" ht="57" thickBot="1">
      <c r="A42" s="70" t="s">
        <v>133</v>
      </c>
      <c r="B42" s="64" t="s">
        <v>134</v>
      </c>
      <c r="C42" s="64" t="s">
        <v>135</v>
      </c>
    </row>
    <row r="43" spans="1:3" ht="19.5" thickBot="1">
      <c r="A43" s="9" t="s">
        <v>87</v>
      </c>
      <c r="B43" s="6" t="s">
        <v>136</v>
      </c>
      <c r="C43" s="6">
        <v>40</v>
      </c>
    </row>
    <row r="44" spans="1:3" ht="19.5" thickBot="1">
      <c r="A44" s="9" t="s">
        <v>88</v>
      </c>
      <c r="B44" s="66" t="s">
        <v>136</v>
      </c>
      <c r="C44" s="66">
        <v>40</v>
      </c>
    </row>
    <row r="45" spans="1:3" ht="19.5" thickBot="1">
      <c r="A45" s="35" t="s">
        <v>10</v>
      </c>
      <c r="B45" s="66"/>
      <c r="C45" s="66"/>
    </row>
    <row r="47" ht="18.75">
      <c r="A47" s="36" t="s">
        <v>131</v>
      </c>
    </row>
    <row r="48" spans="1:3" ht="18.75">
      <c r="A48" s="92" t="s">
        <v>132</v>
      </c>
      <c r="B48" s="92"/>
      <c r="C48" s="92"/>
    </row>
    <row r="49" ht="15.75">
      <c r="A49" s="40" t="s">
        <v>19</v>
      </c>
    </row>
    <row r="50" spans="1:3" ht="18.75">
      <c r="A50" s="92" t="s">
        <v>2</v>
      </c>
      <c r="B50" s="92"/>
      <c r="C50" s="92"/>
    </row>
    <row r="51" ht="19.5" thickBot="1">
      <c r="A51" s="69"/>
    </row>
    <row r="52" spans="1:3" ht="57" thickBot="1">
      <c r="A52" s="70" t="s">
        <v>133</v>
      </c>
      <c r="B52" s="64" t="s">
        <v>134</v>
      </c>
      <c r="C52" s="64" t="s">
        <v>135</v>
      </c>
    </row>
    <row r="53" spans="1:3" ht="19.5" thickBot="1">
      <c r="A53" s="9" t="s">
        <v>87</v>
      </c>
      <c r="B53" s="6" t="s">
        <v>136</v>
      </c>
      <c r="C53" s="6">
        <v>40</v>
      </c>
    </row>
    <row r="54" spans="1:3" ht="19.5" thickBot="1">
      <c r="A54" s="9" t="s">
        <v>88</v>
      </c>
      <c r="B54" s="66" t="s">
        <v>136</v>
      </c>
      <c r="C54" s="66">
        <v>40</v>
      </c>
    </row>
    <row r="55" spans="1:3" ht="19.5" thickBot="1">
      <c r="A55" s="35" t="s">
        <v>10</v>
      </c>
      <c r="B55" s="66"/>
      <c r="C55" s="66"/>
    </row>
    <row r="57" ht="18.75">
      <c r="A57" s="36" t="s">
        <v>131</v>
      </c>
    </row>
    <row r="58" spans="1:3" ht="18.75">
      <c r="A58" s="92" t="s">
        <v>132</v>
      </c>
      <c r="B58" s="92"/>
      <c r="C58" s="92"/>
    </row>
    <row r="59" ht="15.75">
      <c r="A59" s="40" t="s">
        <v>20</v>
      </c>
    </row>
    <row r="60" spans="1:3" ht="18.75">
      <c r="A60" s="92" t="s">
        <v>2</v>
      </c>
      <c r="B60" s="92"/>
      <c r="C60" s="92"/>
    </row>
    <row r="61" ht="19.5" thickBot="1">
      <c r="A61" s="69"/>
    </row>
    <row r="62" spans="1:3" ht="57" thickBot="1">
      <c r="A62" s="70" t="s">
        <v>133</v>
      </c>
      <c r="B62" s="64" t="s">
        <v>134</v>
      </c>
      <c r="C62" s="64" t="s">
        <v>135</v>
      </c>
    </row>
    <row r="63" spans="1:3" ht="19.5" thickBot="1">
      <c r="A63" s="9" t="s">
        <v>87</v>
      </c>
      <c r="B63" s="6" t="s">
        <v>136</v>
      </c>
      <c r="C63" s="6">
        <v>40</v>
      </c>
    </row>
    <row r="64" spans="1:3" ht="19.5" thickBot="1">
      <c r="A64" s="9" t="s">
        <v>88</v>
      </c>
      <c r="B64" s="66" t="s">
        <v>136</v>
      </c>
      <c r="C64" s="66">
        <v>40</v>
      </c>
    </row>
    <row r="65" spans="1:3" ht="19.5" thickBot="1">
      <c r="A65" s="35" t="s">
        <v>10</v>
      </c>
      <c r="B65" s="66"/>
      <c r="C65" s="66"/>
    </row>
    <row r="68" ht="15">
      <c r="A68" t="s">
        <v>168</v>
      </c>
    </row>
    <row r="70" ht="15">
      <c r="A70" t="s">
        <v>169</v>
      </c>
    </row>
  </sheetData>
  <sheetProtection/>
  <mergeCells count="12">
    <mergeCell ref="A60:C60"/>
    <mergeCell ref="A6:C6"/>
    <mergeCell ref="A8:C8"/>
    <mergeCell ref="A16:C16"/>
    <mergeCell ref="A18:C18"/>
    <mergeCell ref="A26:C26"/>
    <mergeCell ref="A28:C28"/>
    <mergeCell ref="A38:C38"/>
    <mergeCell ref="A40:C40"/>
    <mergeCell ref="A48:C48"/>
    <mergeCell ref="A50:C50"/>
    <mergeCell ref="A58:C5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8.421875" style="0" customWidth="1"/>
    <col min="2" max="2" width="14.140625" style="0" customWidth="1"/>
    <col min="3" max="3" width="29.421875" style="0" customWidth="1"/>
  </cols>
  <sheetData>
    <row r="1" spans="1:3" ht="15">
      <c r="A1" s="80"/>
      <c r="B1" s="80"/>
      <c r="C1" s="80"/>
    </row>
    <row r="2" spans="1:3" ht="15">
      <c r="A2" s="81" t="s">
        <v>161</v>
      </c>
      <c r="B2" s="81"/>
      <c r="C2" s="81"/>
    </row>
    <row r="3" spans="1:3" ht="15">
      <c r="A3" s="81" t="s">
        <v>170</v>
      </c>
      <c r="B3" s="81"/>
      <c r="C3" s="81"/>
    </row>
    <row r="4" spans="1:3" ht="15">
      <c r="A4" s="81" t="s">
        <v>171</v>
      </c>
      <c r="B4" s="81"/>
      <c r="C4" s="81"/>
    </row>
    <row r="5" ht="18.75">
      <c r="A5" s="36" t="s">
        <v>137</v>
      </c>
    </row>
    <row r="6" spans="1:3" ht="18.75">
      <c r="A6" s="73" t="s">
        <v>138</v>
      </c>
      <c r="B6" s="73"/>
      <c r="C6" s="73"/>
    </row>
    <row r="7" ht="15.75">
      <c r="A7" s="40" t="s">
        <v>13</v>
      </c>
    </row>
    <row r="8" ht="18.75">
      <c r="A8" s="36" t="s">
        <v>139</v>
      </c>
    </row>
    <row r="9" ht="16.5" thickBot="1">
      <c r="A9" s="3"/>
    </row>
    <row r="10" spans="1:3" ht="59.25" customHeight="1">
      <c r="A10" s="84" t="s">
        <v>140</v>
      </c>
      <c r="B10" s="84" t="s">
        <v>27</v>
      </c>
      <c r="C10" s="84" t="s">
        <v>141</v>
      </c>
    </row>
    <row r="11" spans="1:3" ht="15.75" thickBot="1">
      <c r="A11" s="86"/>
      <c r="B11" s="86"/>
      <c r="C11" s="86"/>
    </row>
    <row r="12" spans="1:3" ht="19.5" thickBot="1">
      <c r="A12" s="35" t="s">
        <v>97</v>
      </c>
      <c r="B12" s="6" t="s">
        <v>142</v>
      </c>
      <c r="C12" s="74">
        <f>3038/1106</f>
        <v>2.7468354430379747</v>
      </c>
    </row>
    <row r="13" spans="1:3" ht="19.5" thickBot="1">
      <c r="A13" s="35" t="s">
        <v>143</v>
      </c>
      <c r="B13" s="6" t="s">
        <v>142</v>
      </c>
      <c r="C13" s="74">
        <f>7150/1106</f>
        <v>6.464737793851718</v>
      </c>
    </row>
    <row r="14" spans="1:3" ht="16.5" thickBot="1">
      <c r="A14" s="71" t="s">
        <v>10</v>
      </c>
      <c r="B14" s="72"/>
      <c r="C14" s="75">
        <f>SUM(C12:C13)</f>
        <v>9.211573236889693</v>
      </c>
    </row>
    <row r="15" ht="15.75">
      <c r="A15" s="3"/>
    </row>
    <row r="18" ht="18.75">
      <c r="A18" s="36" t="s">
        <v>137</v>
      </c>
    </row>
    <row r="19" spans="1:3" ht="18.75">
      <c r="A19" s="73" t="s">
        <v>138</v>
      </c>
      <c r="B19" s="73"/>
      <c r="C19" s="73"/>
    </row>
    <row r="20" ht="15.75">
      <c r="A20" s="40" t="s">
        <v>14</v>
      </c>
    </row>
    <row r="21" ht="18.75">
      <c r="A21" s="36" t="s">
        <v>139</v>
      </c>
    </row>
    <row r="22" ht="16.5" thickBot="1">
      <c r="A22" s="3"/>
    </row>
    <row r="23" spans="1:3" ht="15">
      <c r="A23" s="84" t="s">
        <v>140</v>
      </c>
      <c r="B23" s="84" t="s">
        <v>27</v>
      </c>
      <c r="C23" s="84" t="s">
        <v>141</v>
      </c>
    </row>
    <row r="24" spans="1:3" ht="33" customHeight="1" thickBot="1">
      <c r="A24" s="86"/>
      <c r="B24" s="86"/>
      <c r="C24" s="86"/>
    </row>
    <row r="25" spans="1:3" ht="19.5" thickBot="1">
      <c r="A25" s="35" t="s">
        <v>97</v>
      </c>
      <c r="B25" s="6" t="s">
        <v>142</v>
      </c>
      <c r="C25" s="74">
        <f>13386/9034</f>
        <v>1.4817356652645561</v>
      </c>
    </row>
    <row r="26" spans="1:3" ht="19.5" thickBot="1">
      <c r="A26" s="35" t="s">
        <v>143</v>
      </c>
      <c r="B26" s="6" t="s">
        <v>142</v>
      </c>
      <c r="C26" s="74">
        <f>58060/9034</f>
        <v>6.426831968120434</v>
      </c>
    </row>
    <row r="27" spans="1:3" ht="16.5" thickBot="1">
      <c r="A27" s="71" t="s">
        <v>10</v>
      </c>
      <c r="B27" s="72"/>
      <c r="C27" s="75">
        <f>SUM(C25:C26)</f>
        <v>7.9085676333849895</v>
      </c>
    </row>
    <row r="31" ht="18.75">
      <c r="A31" s="36" t="s">
        <v>137</v>
      </c>
    </row>
    <row r="32" spans="1:3" ht="18.75">
      <c r="A32" s="73" t="s">
        <v>138</v>
      </c>
      <c r="B32" s="73"/>
      <c r="C32" s="73"/>
    </row>
    <row r="33" ht="15.75">
      <c r="A33" s="40" t="s">
        <v>17</v>
      </c>
    </row>
    <row r="34" ht="18.75">
      <c r="A34" s="36" t="s">
        <v>139</v>
      </c>
    </row>
    <row r="35" ht="16.5" thickBot="1">
      <c r="A35" s="3"/>
    </row>
    <row r="36" spans="1:3" ht="15">
      <c r="A36" s="84" t="s">
        <v>140</v>
      </c>
      <c r="B36" s="84" t="s">
        <v>27</v>
      </c>
      <c r="C36" s="84" t="s">
        <v>141</v>
      </c>
    </row>
    <row r="37" spans="1:3" ht="31.5" customHeight="1" thickBot="1">
      <c r="A37" s="86"/>
      <c r="B37" s="86"/>
      <c r="C37" s="86"/>
    </row>
    <row r="38" spans="1:3" ht="19.5" thickBot="1">
      <c r="A38" s="35" t="s">
        <v>97</v>
      </c>
      <c r="B38" s="6" t="s">
        <v>142</v>
      </c>
      <c r="C38" s="74">
        <f>1092/824</f>
        <v>1.325242718446602</v>
      </c>
    </row>
    <row r="39" spans="1:3" ht="19.5" thickBot="1">
      <c r="A39" s="35" t="s">
        <v>143</v>
      </c>
      <c r="B39" s="6" t="s">
        <v>142</v>
      </c>
      <c r="C39" s="74">
        <f>5350/824</f>
        <v>6.492718446601942</v>
      </c>
    </row>
    <row r="40" spans="1:3" ht="16.5" thickBot="1">
      <c r="A40" s="71" t="s">
        <v>10</v>
      </c>
      <c r="B40" s="72"/>
      <c r="C40" s="75">
        <f>SUM(C38:C39)</f>
        <v>7.817961165048544</v>
      </c>
    </row>
    <row r="42" ht="18.75">
      <c r="A42" s="36" t="s">
        <v>137</v>
      </c>
    </row>
    <row r="43" spans="1:3" ht="18.75">
      <c r="A43" s="73" t="s">
        <v>138</v>
      </c>
      <c r="B43" s="73"/>
      <c r="C43" s="73"/>
    </row>
    <row r="44" ht="15.75">
      <c r="A44" s="40" t="s">
        <v>18</v>
      </c>
    </row>
    <row r="45" ht="18.75">
      <c r="A45" s="36" t="s">
        <v>139</v>
      </c>
    </row>
    <row r="46" ht="16.5" thickBot="1">
      <c r="A46" s="3"/>
    </row>
    <row r="47" spans="1:3" ht="15">
      <c r="A47" s="84" t="s">
        <v>140</v>
      </c>
      <c r="B47" s="84" t="s">
        <v>27</v>
      </c>
      <c r="C47" s="84" t="s">
        <v>141</v>
      </c>
    </row>
    <row r="48" spans="1:3" ht="30.75" customHeight="1" thickBot="1">
      <c r="A48" s="86"/>
      <c r="B48" s="86"/>
      <c r="C48" s="86"/>
    </row>
    <row r="49" spans="1:3" ht="19.5" thickBot="1">
      <c r="A49" s="35" t="s">
        <v>97</v>
      </c>
      <c r="B49" s="6" t="s">
        <v>142</v>
      </c>
      <c r="C49" s="74">
        <f>1430/1047</f>
        <v>1.3658070678127985</v>
      </c>
    </row>
    <row r="50" spans="1:3" ht="19.5" thickBot="1">
      <c r="A50" s="35" t="s">
        <v>143</v>
      </c>
      <c r="B50" s="6" t="s">
        <v>142</v>
      </c>
      <c r="C50" s="74">
        <v>6.829035339063992</v>
      </c>
    </row>
    <row r="51" spans="1:3" ht="16.5" thickBot="1">
      <c r="A51" s="71" t="s">
        <v>10</v>
      </c>
      <c r="B51" s="72"/>
      <c r="C51" s="75">
        <f>SUM(C49:C50)</f>
        <v>8.194842406876791</v>
      </c>
    </row>
    <row r="53" ht="18.75">
      <c r="A53" s="36" t="s">
        <v>137</v>
      </c>
    </row>
    <row r="54" spans="1:3" ht="18.75">
      <c r="A54" s="73" t="s">
        <v>138</v>
      </c>
      <c r="B54" s="73"/>
      <c r="C54" s="73"/>
    </row>
    <row r="55" ht="15.75">
      <c r="A55" s="40" t="s">
        <v>19</v>
      </c>
    </row>
    <row r="56" ht="18.75">
      <c r="A56" s="36" t="s">
        <v>139</v>
      </c>
    </row>
    <row r="57" ht="16.5" thickBot="1">
      <c r="A57" s="3"/>
    </row>
    <row r="58" spans="1:3" ht="15">
      <c r="A58" s="84" t="s">
        <v>140</v>
      </c>
      <c r="B58" s="84" t="s">
        <v>27</v>
      </c>
      <c r="C58" s="84" t="s">
        <v>141</v>
      </c>
    </row>
    <row r="59" spans="1:3" ht="25.5" customHeight="1" thickBot="1">
      <c r="A59" s="86"/>
      <c r="B59" s="86"/>
      <c r="C59" s="86"/>
    </row>
    <row r="60" spans="1:3" ht="19.5" thickBot="1">
      <c r="A60" s="35" t="s">
        <v>97</v>
      </c>
      <c r="B60" s="6" t="s">
        <v>142</v>
      </c>
      <c r="C60" s="74">
        <f>883/591</f>
        <v>1.494077834179357</v>
      </c>
    </row>
    <row r="61" spans="1:3" ht="19.5" thickBot="1">
      <c r="A61" s="35" t="s">
        <v>143</v>
      </c>
      <c r="B61" s="6" t="s">
        <v>142</v>
      </c>
      <c r="C61" s="74">
        <f>3576.5/591</f>
        <v>6.05160744500846</v>
      </c>
    </row>
    <row r="62" spans="1:3" ht="16.5" thickBot="1">
      <c r="A62" s="71" t="s">
        <v>10</v>
      </c>
      <c r="B62" s="72"/>
      <c r="C62" s="75">
        <f>SUM(C60:C61)</f>
        <v>7.545685279187817</v>
      </c>
    </row>
    <row r="68" ht="18.75">
      <c r="A68" s="36" t="s">
        <v>137</v>
      </c>
    </row>
    <row r="69" spans="1:3" ht="18.75">
      <c r="A69" s="73" t="s">
        <v>138</v>
      </c>
      <c r="B69" s="73"/>
      <c r="C69" s="73"/>
    </row>
    <row r="70" ht="15.75">
      <c r="A70" s="40" t="s">
        <v>20</v>
      </c>
    </row>
    <row r="71" ht="18.75">
      <c r="A71" s="36" t="s">
        <v>139</v>
      </c>
    </row>
    <row r="72" ht="16.5" thickBot="1">
      <c r="A72" s="3"/>
    </row>
    <row r="73" spans="1:3" ht="15">
      <c r="A73" s="84" t="s">
        <v>140</v>
      </c>
      <c r="B73" s="84" t="s">
        <v>27</v>
      </c>
      <c r="C73" s="84" t="s">
        <v>141</v>
      </c>
    </row>
    <row r="74" spans="1:3" ht="32.25" customHeight="1" thickBot="1">
      <c r="A74" s="86"/>
      <c r="B74" s="86"/>
      <c r="C74" s="86"/>
    </row>
    <row r="75" spans="1:3" ht="19.5" thickBot="1">
      <c r="A75" s="35" t="s">
        <v>97</v>
      </c>
      <c r="B75" s="6" t="s">
        <v>142</v>
      </c>
      <c r="C75" s="74">
        <f>1815/1398</f>
        <v>1.298283261802575</v>
      </c>
    </row>
    <row r="76" spans="1:3" ht="19.5" thickBot="1">
      <c r="A76" s="35" t="s">
        <v>143</v>
      </c>
      <c r="B76" s="6" t="s">
        <v>142</v>
      </c>
      <c r="C76" s="74">
        <f>8910/1398</f>
        <v>6.373390557939914</v>
      </c>
    </row>
    <row r="77" spans="1:3" ht="16.5" thickBot="1">
      <c r="A77" s="71" t="s">
        <v>10</v>
      </c>
      <c r="B77" s="72"/>
      <c r="C77" s="75">
        <f>SUM(C75:C76)</f>
        <v>7.671673819742489</v>
      </c>
    </row>
    <row r="79" ht="15">
      <c r="A79" t="s">
        <v>172</v>
      </c>
    </row>
    <row r="81" ht="15">
      <c r="A81" t="s">
        <v>169</v>
      </c>
    </row>
  </sheetData>
  <sheetProtection/>
  <mergeCells count="18">
    <mergeCell ref="A58:A59"/>
    <mergeCell ref="B58:B59"/>
    <mergeCell ref="C58:C59"/>
    <mergeCell ref="A73:A74"/>
    <mergeCell ref="B73:B74"/>
    <mergeCell ref="C73:C74"/>
    <mergeCell ref="A36:A37"/>
    <mergeCell ref="B36:B37"/>
    <mergeCell ref="C36:C37"/>
    <mergeCell ref="A47:A48"/>
    <mergeCell ref="B47:B48"/>
    <mergeCell ref="C47:C48"/>
    <mergeCell ref="A10:A11"/>
    <mergeCell ref="B10:B11"/>
    <mergeCell ref="C10:C11"/>
    <mergeCell ref="A23:A24"/>
    <mergeCell ref="B23:B24"/>
    <mergeCell ref="C23:C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32.8515625" style="0" customWidth="1"/>
    <col min="2" max="2" width="12.57421875" style="0" customWidth="1"/>
    <col min="3" max="3" width="17.421875" style="0" customWidth="1"/>
    <col min="4" max="4" width="15.57421875" style="0" customWidth="1"/>
    <col min="7" max="8" width="10.8515625" style="0" customWidth="1"/>
  </cols>
  <sheetData>
    <row r="1" ht="15">
      <c r="A1" t="s">
        <v>156</v>
      </c>
    </row>
    <row r="2" spans="2:8" ht="15">
      <c r="B2" s="120" t="s">
        <v>154</v>
      </c>
      <c r="C2" s="120"/>
      <c r="D2" s="120"/>
      <c r="E2" s="120"/>
      <c r="F2" s="120"/>
      <c r="G2" s="120"/>
      <c r="H2" s="120"/>
    </row>
    <row r="3" spans="2:8" ht="15">
      <c r="B3" s="120"/>
      <c r="C3" s="120"/>
      <c r="D3" s="120"/>
      <c r="E3" s="120"/>
      <c r="F3" s="120"/>
      <c r="G3" s="120"/>
      <c r="H3" s="120"/>
    </row>
    <row r="4" ht="18.75">
      <c r="D4" s="77" t="s">
        <v>155</v>
      </c>
    </row>
    <row r="5" spans="1:8" ht="15">
      <c r="A5" s="83" t="s">
        <v>74</v>
      </c>
      <c r="B5" s="121" t="s">
        <v>75</v>
      </c>
      <c r="C5" s="97"/>
      <c r="D5" s="98"/>
      <c r="E5" s="98"/>
      <c r="F5" s="98"/>
      <c r="G5" s="98"/>
      <c r="H5" s="98"/>
    </row>
    <row r="6" spans="1:8" ht="44.25" customHeight="1">
      <c r="A6" s="83"/>
      <c r="B6" s="122"/>
      <c r="C6" s="112" t="s">
        <v>153</v>
      </c>
      <c r="D6" s="113"/>
      <c r="E6" s="113"/>
      <c r="F6" s="114"/>
      <c r="G6" s="124" t="s">
        <v>150</v>
      </c>
      <c r="H6" s="125" t="s">
        <v>152</v>
      </c>
    </row>
    <row r="7" spans="1:8" ht="93.75">
      <c r="A7" s="83"/>
      <c r="B7" s="123"/>
      <c r="C7" s="29" t="s">
        <v>147</v>
      </c>
      <c r="D7" s="29" t="s">
        <v>148</v>
      </c>
      <c r="E7" s="29" t="s">
        <v>149</v>
      </c>
      <c r="F7" s="29" t="s">
        <v>151</v>
      </c>
      <c r="G7" s="124"/>
      <c r="H7" s="125"/>
    </row>
    <row r="8" spans="1:8" ht="15.75">
      <c r="A8" s="78" t="s">
        <v>13</v>
      </c>
      <c r="B8" s="19">
        <v>1106</v>
      </c>
      <c r="C8" s="19">
        <v>136.94</v>
      </c>
      <c r="D8" s="20">
        <v>9.21</v>
      </c>
      <c r="E8" s="19">
        <v>1.1</v>
      </c>
      <c r="F8" s="20">
        <f>C8+D8+E8</f>
        <v>147.25</v>
      </c>
      <c r="G8" s="19">
        <f>B8*F8</f>
        <v>162858.5</v>
      </c>
      <c r="H8" s="19">
        <f aca="true" t="shared" si="0" ref="H8:H13">SUM(G8)</f>
        <v>162858.5</v>
      </c>
    </row>
    <row r="9" spans="1:8" ht="15.75">
      <c r="A9" s="78" t="s">
        <v>14</v>
      </c>
      <c r="B9" s="19">
        <v>9034</v>
      </c>
      <c r="C9" s="19">
        <v>181.97</v>
      </c>
      <c r="D9" s="20">
        <v>7.91</v>
      </c>
      <c r="E9" s="19">
        <v>0.04</v>
      </c>
      <c r="F9" s="20">
        <f>C9+D9+E9</f>
        <v>189.92</v>
      </c>
      <c r="G9" s="19">
        <f>B9*F9</f>
        <v>1715737.2799999998</v>
      </c>
      <c r="H9" s="19">
        <f t="shared" si="0"/>
        <v>1715737.2799999998</v>
      </c>
    </row>
    <row r="10" spans="1:8" ht="15.75">
      <c r="A10" s="78" t="s">
        <v>17</v>
      </c>
      <c r="B10" s="19">
        <v>824</v>
      </c>
      <c r="C10" s="19">
        <v>151.39</v>
      </c>
      <c r="D10" s="19">
        <v>7.82</v>
      </c>
      <c r="E10" s="19">
        <v>4</v>
      </c>
      <c r="F10" s="20">
        <f>C10+D10+E10</f>
        <v>163.20999999999998</v>
      </c>
      <c r="G10" s="19">
        <f>B10*F10</f>
        <v>134485.03999999998</v>
      </c>
      <c r="H10" s="19">
        <f t="shared" si="0"/>
        <v>134485.03999999998</v>
      </c>
    </row>
    <row r="11" spans="1:8" ht="15.75">
      <c r="A11" s="78" t="s">
        <v>18</v>
      </c>
      <c r="B11" s="19">
        <v>1047</v>
      </c>
      <c r="C11" s="19">
        <v>151.39</v>
      </c>
      <c r="D11" s="19">
        <v>8.19</v>
      </c>
      <c r="E11" s="19">
        <v>2.48</v>
      </c>
      <c r="F11" s="20">
        <f>C11+D11+E11</f>
        <v>162.05999999999997</v>
      </c>
      <c r="G11" s="19">
        <f>B11*F11</f>
        <v>169676.81999999998</v>
      </c>
      <c r="H11" s="19">
        <f t="shared" si="0"/>
        <v>169676.81999999998</v>
      </c>
    </row>
    <row r="12" spans="1:8" ht="15.75">
      <c r="A12" s="78" t="s">
        <v>19</v>
      </c>
      <c r="B12" s="19">
        <v>591</v>
      </c>
      <c r="C12" s="19">
        <v>151.39</v>
      </c>
      <c r="D12" s="19">
        <v>7.55</v>
      </c>
      <c r="E12" s="19">
        <v>7.76</v>
      </c>
      <c r="F12" s="20">
        <f>C12+D12+E12</f>
        <v>166.7</v>
      </c>
      <c r="G12" s="19">
        <f>B12*F12</f>
        <v>98519.7</v>
      </c>
      <c r="H12" s="19">
        <f t="shared" si="0"/>
        <v>98519.7</v>
      </c>
    </row>
    <row r="13" spans="1:8" ht="15.75">
      <c r="A13" s="78" t="s">
        <v>20</v>
      </c>
      <c r="B13" s="19">
        <v>1398</v>
      </c>
      <c r="C13" s="19">
        <v>151.39</v>
      </c>
      <c r="D13" s="19">
        <v>7.67</v>
      </c>
      <c r="E13" s="19">
        <v>1.39</v>
      </c>
      <c r="F13" s="20">
        <f>C13+D13+E13</f>
        <v>160.44999999999996</v>
      </c>
      <c r="G13" s="19">
        <f>B13*F13</f>
        <v>224309.09999999995</v>
      </c>
      <c r="H13" s="19">
        <f t="shared" si="0"/>
        <v>224309.09999999995</v>
      </c>
    </row>
    <row r="14" spans="1:8" ht="15">
      <c r="A14" s="19"/>
      <c r="B14" s="19"/>
      <c r="C14" s="19"/>
      <c r="D14" s="19"/>
      <c r="E14" s="19"/>
      <c r="F14" s="41"/>
      <c r="G14" s="20"/>
      <c r="H14" s="19"/>
    </row>
    <row r="15" spans="1:8" ht="15">
      <c r="A15" s="19"/>
      <c r="B15" s="19"/>
      <c r="C15" s="19"/>
      <c r="D15" s="19"/>
      <c r="E15" s="19"/>
      <c r="F15" s="41"/>
      <c r="G15" s="20"/>
      <c r="H15" s="19"/>
    </row>
    <row r="16" spans="1:8" ht="15">
      <c r="A16" s="19"/>
      <c r="B16" s="19"/>
      <c r="C16" s="19"/>
      <c r="D16" s="19"/>
      <c r="E16" s="19"/>
      <c r="F16" s="41"/>
      <c r="G16" s="20"/>
      <c r="H16" s="19"/>
    </row>
    <row r="17" spans="1:8" ht="15">
      <c r="A17" s="19"/>
      <c r="B17" s="19"/>
      <c r="C17" s="19"/>
      <c r="D17" s="19"/>
      <c r="E17" s="19"/>
      <c r="F17" s="41"/>
      <c r="G17" s="20"/>
      <c r="H17" s="19"/>
    </row>
    <row r="18" spans="1:8" ht="15">
      <c r="A18" s="19"/>
      <c r="B18" s="19"/>
      <c r="C18" s="19"/>
      <c r="D18" s="19"/>
      <c r="E18" s="19"/>
      <c r="F18" s="41"/>
      <c r="G18" s="20"/>
      <c r="H18" s="19"/>
    </row>
    <row r="19" spans="1:8" ht="15">
      <c r="A19" s="19" t="s">
        <v>53</v>
      </c>
      <c r="B19" s="19"/>
      <c r="C19" s="19"/>
      <c r="D19" s="20"/>
      <c r="E19" s="19"/>
      <c r="F19" s="41"/>
      <c r="G19" s="20">
        <f>SUM(G8:G18)</f>
        <v>2505586.44</v>
      </c>
      <c r="H19" s="20">
        <f>SUM(G19)</f>
        <v>2505586.44</v>
      </c>
    </row>
    <row r="22" spans="1:4" ht="15">
      <c r="A22" t="s">
        <v>157</v>
      </c>
      <c r="C22" s="90" t="s">
        <v>158</v>
      </c>
      <c r="D22" s="90"/>
    </row>
    <row r="26" ht="15">
      <c r="A26" t="s">
        <v>159</v>
      </c>
    </row>
    <row r="27" ht="15">
      <c r="A27" t="s">
        <v>160</v>
      </c>
    </row>
  </sheetData>
  <sheetProtection/>
  <mergeCells count="8">
    <mergeCell ref="C22:D22"/>
    <mergeCell ref="B2:H3"/>
    <mergeCell ref="A5:A7"/>
    <mergeCell ref="B5:B7"/>
    <mergeCell ref="C5:H5"/>
    <mergeCell ref="C6:F6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2012-11-09T15:36:38Z</dcterms:modified>
  <cp:category/>
  <cp:version/>
  <cp:contentType/>
  <cp:contentStatus/>
</cp:coreProperties>
</file>